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S 3year Collapsed" sheetId="1" r:id="rId4"/>
    <sheet state="visible" name="BS 3year Expanded" sheetId="2" r:id="rId5"/>
    <sheet state="visible" name="Debt Schedule Sample" sheetId="3" r:id="rId6"/>
    <sheet state="visible" name="Monthly Budget with Debt Servic" sheetId="4" r:id="rId7"/>
  </sheets>
  <definedNames/>
  <calcPr/>
  <extLst>
    <ext uri="GoogleSheetsCustomDataVersion2">
      <go:sheetsCustomData xmlns:go="http://customooxmlschemas.google.com/" r:id="rId8" roundtripDataChecksum="KezuNb7HN2T2ilHMsPouQAKMh8QGoz3ddLIqb9OJGEM="/>
    </ext>
  </extLst>
</workbook>
</file>

<file path=xl/sharedStrings.xml><?xml version="1.0" encoding="utf-8"?>
<sst xmlns="http://schemas.openxmlformats.org/spreadsheetml/2006/main" count="282" uniqueCount="174">
  <si>
    <t>Balance Sheet</t>
  </si>
  <si>
    <t>As of December 31, 2022</t>
  </si>
  <si>
    <t>ASSETS</t>
  </si>
  <si>
    <t>Current Assets</t>
  </si>
  <si>
    <t>Bank Accounts</t>
  </si>
  <si>
    <t>Business Checking</t>
  </si>
  <si>
    <t>Cash Box</t>
  </si>
  <si>
    <t>PayPal Account</t>
  </si>
  <si>
    <t>Petty Cash</t>
  </si>
  <si>
    <t>Savings</t>
  </si>
  <si>
    <t>Total Bank Accounts</t>
  </si>
  <si>
    <t>Accounts Receivable</t>
  </si>
  <si>
    <t>Accounts Receivable (A/R)</t>
  </si>
  <si>
    <t>Total Accounts Receivable</t>
  </si>
  <si>
    <t>Other Current Assets</t>
  </si>
  <si>
    <t>Undeposited Funds</t>
  </si>
  <si>
    <t>Total Other Current Assets</t>
  </si>
  <si>
    <t>Total Current Assets</t>
  </si>
  <si>
    <t>Fixed Assets</t>
  </si>
  <si>
    <t>Farm Land</t>
  </si>
  <si>
    <t>FMV Adjustment Land</t>
  </si>
  <si>
    <t>Total Fixed Assets</t>
  </si>
  <si>
    <t>TOTAL ASSETS</t>
  </si>
  <si>
    <t>LIABILITIES AND EQUITY</t>
  </si>
  <si>
    <t>Liabilities</t>
  </si>
  <si>
    <t>Current Liabilities</t>
  </si>
  <si>
    <t>Accounts Payable</t>
  </si>
  <si>
    <t>Accounts Payable (A/P)</t>
  </si>
  <si>
    <t>Total Accounts Payable</t>
  </si>
  <si>
    <t>Credit Cards</t>
  </si>
  <si>
    <t>Amex</t>
  </si>
  <si>
    <t>Mastercard</t>
  </si>
  <si>
    <t>VISA</t>
  </si>
  <si>
    <t>Total Credit Cards</t>
  </si>
  <si>
    <t>Total Current Liabilities</t>
  </si>
  <si>
    <t>Long-Term Liabilities</t>
  </si>
  <si>
    <t>Farm Land Mortgage</t>
  </si>
  <si>
    <t>Notes Payable</t>
  </si>
  <si>
    <t>Ag Choice 1</t>
  </si>
  <si>
    <t>Ag Choice 2</t>
  </si>
  <si>
    <t>Family Loan</t>
  </si>
  <si>
    <t>Member Loan</t>
  </si>
  <si>
    <t>Tractor Financing Loan</t>
  </si>
  <si>
    <t>Total Notes Payable</t>
  </si>
  <si>
    <t>Total Long-Term Liabilities</t>
  </si>
  <si>
    <t>Total Liabilities</t>
  </si>
  <si>
    <t>Equity</t>
  </si>
  <si>
    <t>FMV Adjustments</t>
  </si>
  <si>
    <t>Retained Earnings</t>
  </si>
  <si>
    <t>Net Income</t>
  </si>
  <si>
    <t>Can you think of another Equity account you might use?</t>
  </si>
  <si>
    <t>Total Equity</t>
  </si>
  <si>
    <t>TOTAL LIABILITIES AND EQUITY</t>
  </si>
  <si>
    <t>These are the long term liabilities that make up the debt schedule.</t>
  </si>
  <si>
    <t>Monthly payments on each of these are added to calculate your total monthly "debt service".</t>
  </si>
  <si>
    <t>Debt Schedule</t>
  </si>
  <si>
    <t>Long Term Liabilities</t>
  </si>
  <si>
    <t>Balance as of 12/2022</t>
  </si>
  <si>
    <t>Monthly payment</t>
  </si>
  <si>
    <t>Original Date</t>
  </si>
  <si>
    <t>Original Amout</t>
  </si>
  <si>
    <t>Term</t>
  </si>
  <si>
    <t>Interest Rate</t>
  </si>
  <si>
    <t>Final due date</t>
  </si>
  <si>
    <t>Collateral/Comments</t>
  </si>
  <si>
    <t>30yr</t>
  </si>
  <si>
    <t>refinance if needed 2025</t>
  </si>
  <si>
    <t>10yr</t>
  </si>
  <si>
    <t>DONE</t>
  </si>
  <si>
    <t>no penalty for prepay; no ballon payment</t>
  </si>
  <si>
    <t>none</t>
  </si>
  <si>
    <t>fam loan - no interest; no payment schedule</t>
  </si>
  <si>
    <t>Member Loan*</t>
  </si>
  <si>
    <t>4yr</t>
  </si>
  <si>
    <t>no interest</t>
  </si>
  <si>
    <t>5yr</t>
  </si>
  <si>
    <t>no interest equipment purchase</t>
  </si>
  <si>
    <t>Total Long Term Liabilities</t>
  </si>
  <si>
    <t>*Note that the Member Loan will be paid off by the end of June, and June's payment will only be $100</t>
  </si>
  <si>
    <t>Practice here</t>
  </si>
  <si>
    <t>000 · Loan -</t>
  </si>
  <si>
    <t>Jan - Dec, 2021 (PY)</t>
  </si>
  <si>
    <t>Jan - Dec, 2022</t>
  </si>
  <si>
    <t>Trend</t>
  </si>
  <si>
    <t>Driver</t>
  </si>
  <si>
    <t>Factor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</si>
  <si>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</si>
  <si>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</si>
  <si>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</si>
  <si>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</si>
  <si>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</si>
  <si>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</si>
  <si>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</si>
  <si>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</si>
  <si>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</si>
  <si>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 xml:space="preserve">Oct </t>
  </si>
  <si>
    <t>Nov</t>
  </si>
  <si>
    <t>Dec</t>
  </si>
  <si>
    <t>Income</t>
  </si>
  <si>
    <t>Sales Sensitivity</t>
  </si>
  <si>
    <t>2021 monthly sales history</t>
  </si>
  <si>
    <t xml:space="preserve">   Income</t>
  </si>
  <si>
    <t>Enter 2021 sales with a highlight</t>
  </si>
  <si>
    <t xml:space="preserve">      Farm grown product</t>
  </si>
  <si>
    <t>PY Sales Inc.</t>
  </si>
  <si>
    <t>Use percent of total to get a % of sales to drive monthly sales</t>
  </si>
  <si>
    <t xml:space="preserve">      Rent and other Income</t>
  </si>
  <si>
    <t>Fill in remaining data using formulas, line by line.</t>
  </si>
  <si>
    <t xml:space="preserve">      Resale product income</t>
  </si>
  <si>
    <t>We use formulas so that when/if we modify the orange cells, all the grey ones will udpate!</t>
  </si>
  <si>
    <t xml:space="preserve">   Total Income</t>
  </si>
  <si>
    <t>Cost of Goods Sold</t>
  </si>
  <si>
    <t xml:space="preserve">      Farm grown products</t>
  </si>
  <si>
    <t xml:space="preserve">         Seeds</t>
  </si>
  <si>
    <t>% of sales</t>
  </si>
  <si>
    <t xml:space="preserve">         Soil purchases</t>
  </si>
  <si>
    <t xml:space="preserve">      Total Farm grown products</t>
  </si>
  <si>
    <t xml:space="preserve">      Rental and other</t>
  </si>
  <si>
    <t xml:space="preserve">      Resale product</t>
  </si>
  <si>
    <t>Total Cost of Goods Sold</t>
  </si>
  <si>
    <t>Gross Profit</t>
  </si>
  <si>
    <t>Expenses</t>
  </si>
  <si>
    <t xml:space="preserve">   Labor</t>
  </si>
  <si>
    <t xml:space="preserve">         Payroll Wages</t>
  </si>
  <si>
    <t xml:space="preserve">         Contract Labor</t>
  </si>
  <si>
    <t xml:space="preserve">        Other Payroll Expense</t>
  </si>
  <si>
    <t xml:space="preserve">   Total Labor</t>
  </si>
  <si>
    <t xml:space="preserve">   Fixed Expenses</t>
  </si>
  <si>
    <t xml:space="preserve">      Insurance</t>
  </si>
  <si>
    <t>Fixed</t>
  </si>
  <si>
    <t xml:space="preserve">      Interest</t>
  </si>
  <si>
    <t xml:space="preserve">   Total Fixed Expenses</t>
  </si>
  <si>
    <t xml:space="preserve">   General &amp; Admin</t>
  </si>
  <si>
    <t>Budgeted</t>
  </si>
  <si>
    <t xml:space="preserve">      Bank Service Charges</t>
  </si>
  <si>
    <t xml:space="preserve">      Dues &amp; Subscriptions</t>
  </si>
  <si>
    <t xml:space="preserve">      General &amp; Admin - Other</t>
  </si>
  <si>
    <t xml:space="preserve">      Marketing</t>
  </si>
  <si>
    <t xml:space="preserve">         General</t>
  </si>
  <si>
    <t xml:space="preserve">         Events</t>
  </si>
  <si>
    <t xml:space="preserve">         Website + Print</t>
  </si>
  <si>
    <t xml:space="preserve">      Total Marketing</t>
  </si>
  <si>
    <t xml:space="preserve">      Office Supplies</t>
  </si>
  <si>
    <t xml:space="preserve">      Professional Fees</t>
  </si>
  <si>
    <t xml:space="preserve">   Total General &amp; Admin</t>
  </si>
  <si>
    <t xml:space="preserve">   Operating Expense</t>
  </si>
  <si>
    <t xml:space="preserve">      Small Equipment</t>
  </si>
  <si>
    <t xml:space="preserve">      Farming Supplies</t>
  </si>
  <si>
    <t xml:space="preserve">      Fuel</t>
  </si>
  <si>
    <t xml:space="preserve">      Farmers Market Fees</t>
  </si>
  <si>
    <t xml:space="preserve">      Feed for livestock</t>
  </si>
  <si>
    <t xml:space="preserve">      Repairs &amp; Maintenance</t>
  </si>
  <si>
    <t xml:space="preserve">      Credit Card Process Fees</t>
  </si>
  <si>
    <t xml:space="preserve">      Sales Supplies for Market</t>
  </si>
  <si>
    <t xml:space="preserve">      Utilities</t>
  </si>
  <si>
    <t xml:space="preserve">      Rentals</t>
  </si>
  <si>
    <t xml:space="preserve">   Total Operating Expense</t>
  </si>
  <si>
    <t xml:space="preserve">   Uncategorized Expense</t>
  </si>
  <si>
    <t>Total Expenses</t>
  </si>
  <si>
    <t>Net Operating Income</t>
  </si>
  <si>
    <t>Other Expenses</t>
  </si>
  <si>
    <t xml:space="preserve">   Owner Draw</t>
  </si>
  <si>
    <t xml:space="preserve">      Childcare</t>
  </si>
  <si>
    <t xml:space="preserve">      Health Insurance, Owner</t>
  </si>
  <si>
    <t xml:space="preserve">   Total Owner Draw</t>
  </si>
  <si>
    <t xml:space="preserve">   Reconciliation Discrepancies</t>
  </si>
  <si>
    <t>Total Other Expenses</t>
  </si>
  <si>
    <t>Net Other Income</t>
  </si>
  <si>
    <t>Starting cash</t>
  </si>
  <si>
    <t>Add interest expense back in!!</t>
  </si>
  <si>
    <t>Monthly Debt Service</t>
  </si>
  <si>
    <t>Monthly Net Cash</t>
  </si>
  <si>
    <t>Annual Cash Flow Deficit after Loan payments</t>
  </si>
  <si>
    <t>Rolling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</si>
</sst>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"/>
    <numFmt numFmtId="165" formatCode="m/d/yy"/>
    <numFmt numFmtId="166" formatCode="_(&quot;$&quot;* #,##0_);_(&quot;$&quot;* \(#,##0\);_(&quot;$&quot;* &quot;-&quot;??_);_(@_)"/>
    <numFmt numFmtId="167" formatCode="#,##0.00\ _€"/>
    <numFmt numFmtId="168" formatCode="0.0%"/>
    <numFmt numFmtId="169" formatCode="#,##0\ _€"/>
  </numFmts>
  <fonts count="29">
    <font>
      <sz val="10.0"/>
      <color rgb="FF000000"/>
      <name val="Arial"/>
      <scheme val="minor"/>
    </font>
    <font>
      <b/>
      <sz val="14.0"/>
      <color rgb="FF000000"/>
      <name val="Arial"/>
    </font>
    <font>
      <b/>
      <color rgb="FF000000"/>
      <name val="Arial"/>
    </font>
    <font>
      <sz val="11.0"/>
      <color rgb="FF000000"/>
      <name val="Calibri"/>
    </font>
    <font>
      <b/>
      <sz val="9.0"/>
      <color rgb="FF000000"/>
      <name val="Arial"/>
    </font>
    <font>
      <b/>
      <sz val="8.0"/>
      <color rgb="FF000000"/>
      <name val="Arial"/>
    </font>
    <font>
      <sz val="8.0"/>
      <color rgb="FF000000"/>
      <name val="Arial"/>
    </font>
    <font>
      <color theme="1"/>
      <name val="Arial"/>
    </font>
    <font>
      <b/>
      <sz val="14.0"/>
      <color theme="1"/>
      <name val="Arial"/>
    </font>
    <font>
      <b/>
      <sz val="11.0"/>
      <color rgb="FF000000"/>
      <name val="Calibri"/>
    </font>
    <font/>
    <font>
      <b/>
      <u/>
      <sz val="11.0"/>
      <color rgb="FF000000"/>
      <name val="Calibri"/>
    </font>
    <font>
      <b/>
      <sz val="11.0"/>
      <color rgb="FF000000"/>
      <name val="Arial"/>
    </font>
    <font>
      <i/>
      <sz val="11.0"/>
      <color theme="1"/>
      <name val="Arial"/>
    </font>
    <font>
      <b/>
      <sz val="9.0"/>
      <color rgb="FF000000"/>
      <name val="Calibri"/>
    </font>
    <font>
      <b/>
      <sz val="10.0"/>
      <color rgb="FF000000"/>
      <name val="Calibri"/>
    </font>
    <font>
      <sz val="10.0"/>
      <color rgb="FF000000"/>
      <name val="Calibri"/>
    </font>
    <font>
      <sz val="8.0"/>
      <color rgb="FF000000"/>
      <name val="Calibri"/>
    </font>
    <font>
      <b/>
      <sz val="8.0"/>
      <color rgb="FF000000"/>
      <name val="Calibri"/>
    </font>
    <font>
      <sz val="8.0"/>
      <color rgb="FF3F3F76"/>
      <name val="Calibri"/>
    </font>
    <font>
      <sz val="9.0"/>
      <color rgb="FF000000"/>
      <name val="Calibri"/>
    </font>
    <font>
      <b/>
      <i/>
      <sz val="12.0"/>
      <color rgb="FF000000"/>
      <name val="Calibri"/>
    </font>
    <font>
      <color theme="1"/>
      <name val="Calibri"/>
    </font>
    <font>
      <sz val="8.0"/>
      <color theme="1"/>
      <name val="Calibri"/>
    </font>
    <font>
      <sz val="11.0"/>
      <color theme="1"/>
      <name val="Calibri"/>
    </font>
    <font>
      <i/>
      <sz val="8.0"/>
      <color rgb="FF000000"/>
      <name val="Calibri"/>
    </font>
    <font>
      <b/>
      <i/>
      <sz val="8.0"/>
      <color rgb="FF000000"/>
      <name val="Calibri"/>
    </font>
    <font>
      <b/>
      <i/>
      <sz val="9.0"/>
      <color rgb="FF000000"/>
      <name val="Calibri"/>
    </font>
    <font>
      <i/>
      <sz val="9.0"/>
      <color rgb="FF000000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  <fill>
      <patternFill patternType="solid">
        <fgColor rgb="FFF9CB9C"/>
        <bgColor rgb="FFF9CB9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4CCCC"/>
        <bgColor rgb="FFF4CCCC"/>
      </patternFill>
    </fill>
  </fills>
  <borders count="17">
    <border/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vertical="bottom"/>
    </xf>
    <xf borderId="1" fillId="0" fontId="4" numFmtId="0" xfId="0" applyAlignment="1" applyBorder="1" applyFont="1">
      <alignment horizontal="center" readingOrder="0" vertical="bottom"/>
    </xf>
    <xf borderId="0" fillId="0" fontId="5" numFmtId="0" xfId="0" applyAlignment="1" applyFont="1">
      <alignment horizontal="left" vertical="bottom"/>
    </xf>
    <xf borderId="0" fillId="0" fontId="6" numFmtId="0" xfId="0" applyAlignment="1" applyFont="1">
      <alignment vertical="bottom"/>
    </xf>
    <xf borderId="0" fillId="0" fontId="6" numFmtId="3" xfId="0" applyAlignment="1" applyFont="1" applyNumberFormat="1">
      <alignment horizontal="right" vertical="bottom"/>
    </xf>
    <xf borderId="0" fillId="0" fontId="6" numFmtId="0" xfId="0" applyAlignment="1" applyFont="1">
      <alignment horizontal="right" vertical="bottom"/>
    </xf>
    <xf borderId="2" fillId="0" fontId="5" numFmtId="164" xfId="0" applyAlignment="1" applyBorder="1" applyFont="1" applyNumberFormat="1">
      <alignment horizontal="right" vertical="bottom"/>
    </xf>
    <xf borderId="0" fillId="2" fontId="5" numFmtId="0" xfId="0" applyAlignment="1" applyFill="1" applyFont="1">
      <alignment horizontal="left" vertical="bottom"/>
    </xf>
    <xf borderId="2" fillId="2" fontId="5" numFmtId="164" xfId="0" applyAlignment="1" applyBorder="1" applyFont="1" applyNumberFormat="1">
      <alignment horizontal="right" vertical="bottom"/>
    </xf>
    <xf borderId="0" fillId="0" fontId="4" numFmtId="0" xfId="0" applyAlignment="1" applyFont="1">
      <alignment horizontal="center" vertical="bottom"/>
    </xf>
    <xf borderId="0" fillId="3" fontId="5" numFmtId="0" xfId="0" applyAlignment="1" applyFill="1" applyFont="1">
      <alignment horizontal="left" vertical="bottom"/>
    </xf>
    <xf borderId="2" fillId="3" fontId="5" numFmtId="164" xfId="0" applyAlignment="1" applyBorder="1" applyFont="1" applyNumberFormat="1">
      <alignment horizontal="right" vertical="bottom"/>
    </xf>
    <xf borderId="0" fillId="4" fontId="7" numFmtId="0" xfId="0" applyFill="1" applyFont="1"/>
    <xf borderId="0" fillId="5" fontId="5" numFmtId="0" xfId="0" applyAlignment="1" applyFill="1" applyFont="1">
      <alignment horizontal="left" vertical="bottom"/>
    </xf>
    <xf borderId="0" fillId="5" fontId="7" numFmtId="0" xfId="0" applyFont="1"/>
    <xf borderId="3" fillId="2" fontId="5" numFmtId="0" xfId="0" applyAlignment="1" applyBorder="1" applyFont="1">
      <alignment horizontal="left" vertical="bottom"/>
    </xf>
    <xf borderId="2" fillId="2" fontId="6" numFmtId="3" xfId="0" applyAlignment="1" applyBorder="1" applyFont="1" applyNumberFormat="1">
      <alignment horizontal="right" vertical="bottom"/>
    </xf>
    <xf borderId="4" fillId="2" fontId="6" numFmtId="3" xfId="0" applyAlignment="1" applyBorder="1" applyFont="1" applyNumberFormat="1">
      <alignment horizontal="right" vertical="bottom"/>
    </xf>
    <xf borderId="0" fillId="0" fontId="7" numFmtId="0" xfId="0" applyAlignment="1" applyFont="1">
      <alignment shrinkToFit="0" wrapText="1"/>
    </xf>
    <xf borderId="5" fillId="2" fontId="5" numFmtId="0" xfId="0" applyAlignment="1" applyBorder="1" applyFont="1">
      <alignment horizontal="left" vertical="bottom"/>
    </xf>
    <xf borderId="0" fillId="2" fontId="6" numFmtId="0" xfId="0" applyAlignment="1" applyFont="1">
      <alignment vertical="bottom"/>
    </xf>
    <xf borderId="0" fillId="2" fontId="6" numFmtId="0" xfId="0" applyAlignment="1" applyFont="1">
      <alignment horizontal="right" vertical="bottom"/>
    </xf>
    <xf borderId="6" fillId="2" fontId="6" numFmtId="0" xfId="0" applyAlignment="1" applyBorder="1" applyFont="1">
      <alignment horizontal="right" vertical="bottom"/>
    </xf>
    <xf borderId="0" fillId="2" fontId="6" numFmtId="3" xfId="0" applyAlignment="1" applyFont="1" applyNumberFormat="1">
      <alignment horizontal="right" vertical="bottom"/>
    </xf>
    <xf borderId="6" fillId="2" fontId="6" numFmtId="3" xfId="0" applyAlignment="1" applyBorder="1" applyFont="1" applyNumberFormat="1">
      <alignment horizontal="right" vertical="bottom"/>
    </xf>
    <xf borderId="7" fillId="2" fontId="5" numFmtId="0" xfId="0" applyAlignment="1" applyBorder="1" applyFont="1">
      <alignment horizontal="left" vertical="bottom"/>
    </xf>
    <xf borderId="1" fillId="2" fontId="6" numFmtId="3" xfId="0" applyAlignment="1" applyBorder="1" applyFont="1" applyNumberFormat="1">
      <alignment horizontal="right" vertical="bottom"/>
    </xf>
    <xf borderId="8" fillId="2" fontId="6" numFmtId="3" xfId="0" applyAlignment="1" applyBorder="1" applyFont="1" applyNumberFormat="1">
      <alignment horizontal="right" vertical="bottom"/>
    </xf>
    <xf borderId="0" fillId="0" fontId="8" numFmtId="0" xfId="0" applyFont="1"/>
    <xf borderId="9" fillId="0" fontId="9" numFmtId="0" xfId="0" applyAlignment="1" applyBorder="1" applyFont="1">
      <alignment shrinkToFit="0" vertical="bottom" wrapText="0"/>
    </xf>
    <xf borderId="9" fillId="0" fontId="10" numFmtId="0" xfId="0" applyBorder="1" applyFont="1"/>
    <xf borderId="4" fillId="0" fontId="3" numFmtId="0" xfId="0" applyAlignment="1" applyBorder="1" applyFont="1">
      <alignment shrinkToFit="0" vertical="bottom" wrapText="0"/>
    </xf>
    <xf borderId="10" fillId="0" fontId="9" numFmtId="0" xfId="0" applyAlignment="1" applyBorder="1" applyFont="1">
      <alignment horizontal="center" readingOrder="0" shrinkToFit="0" vertical="bottom" wrapText="1"/>
    </xf>
    <xf borderId="10" fillId="0" fontId="9" numFmtId="0" xfId="0" applyAlignment="1" applyBorder="1" applyFont="1">
      <alignment horizontal="center" shrinkToFit="0" vertical="bottom" wrapText="1"/>
    </xf>
    <xf borderId="10" fillId="0" fontId="11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shrinkToFit="0" vertical="bottom" wrapText="0"/>
    </xf>
    <xf borderId="11" fillId="6" fontId="9" numFmtId="0" xfId="0" applyAlignment="1" applyBorder="1" applyFill="1" applyFont="1">
      <alignment shrinkToFit="0" vertical="bottom" wrapText="0"/>
    </xf>
    <xf borderId="10" fillId="6" fontId="12" numFmtId="0" xfId="0" applyAlignment="1" applyBorder="1" applyFont="1">
      <alignment horizontal="left" vertical="bottom"/>
    </xf>
    <xf borderId="8" fillId="6" fontId="3" numFmtId="164" xfId="0" applyAlignment="1" applyBorder="1" applyFont="1" applyNumberFormat="1">
      <alignment horizontal="right" shrinkToFit="0" vertical="bottom" wrapText="0"/>
    </xf>
    <xf borderId="8" fillId="6" fontId="3" numFmtId="165" xfId="0" applyAlignment="1" applyBorder="1" applyFont="1" applyNumberFormat="1">
      <alignment horizontal="right" readingOrder="0" shrinkToFit="0" vertical="bottom" wrapText="0"/>
    </xf>
    <xf borderId="8" fillId="6" fontId="3" numFmtId="0" xfId="0" applyAlignment="1" applyBorder="1" applyFont="1">
      <alignment horizontal="center" shrinkToFit="0" vertical="bottom" wrapText="0"/>
    </xf>
    <xf borderId="8" fillId="6" fontId="3" numFmtId="0" xfId="0" applyAlignment="1" applyBorder="1" applyFont="1">
      <alignment shrinkToFit="0" vertical="bottom" wrapText="1"/>
    </xf>
    <xf borderId="8" fillId="6" fontId="3" numFmtId="165" xfId="0" applyAlignment="1" applyBorder="1" applyFont="1" applyNumberFormat="1">
      <alignment readingOrder="0" shrinkToFit="0" vertical="bottom" wrapText="0"/>
    </xf>
    <xf borderId="8" fillId="6" fontId="3" numFmtId="165" xfId="0" applyAlignment="1" applyBorder="1" applyFont="1" applyNumberFormat="1">
      <alignment horizontal="right" shrinkToFit="0" vertical="bottom" wrapText="0"/>
    </xf>
    <xf borderId="8" fillId="6" fontId="3" numFmtId="164" xfId="0" applyAlignment="1" applyBorder="1" applyFont="1" applyNumberFormat="1">
      <alignment shrinkToFit="0" vertical="bottom" wrapText="0"/>
    </xf>
    <xf borderId="8" fillId="6" fontId="3" numFmtId="0" xfId="0" applyAlignment="1" applyBorder="1" applyFont="1">
      <alignment shrinkToFit="0" vertical="bottom" wrapText="0"/>
    </xf>
    <xf borderId="8" fillId="6" fontId="3" numFmtId="0" xfId="0" applyAlignment="1" applyBorder="1" applyFont="1">
      <alignment horizontal="right" shrinkToFit="0" vertical="bottom" wrapText="0"/>
    </xf>
    <xf borderId="8" fillId="0" fontId="3" numFmtId="0" xfId="0" applyAlignment="1" applyBorder="1" applyFont="1">
      <alignment shrinkToFit="0" vertical="bottom" wrapText="0"/>
    </xf>
    <xf borderId="1" fillId="6" fontId="9" numFmtId="0" xfId="0" applyAlignment="1" applyBorder="1" applyFont="1">
      <alignment shrinkToFit="0" vertical="bottom" wrapText="0"/>
    </xf>
    <xf borderId="12" fillId="0" fontId="3" numFmtId="0" xfId="0" applyAlignment="1" applyBorder="1" applyFont="1">
      <alignment shrinkToFit="0" vertical="bottom" wrapText="0"/>
    </xf>
    <xf borderId="1" fillId="0" fontId="9" numFmtId="0" xfId="0" applyAlignment="1" applyBorder="1" applyFont="1">
      <alignment shrinkToFit="0" vertical="bottom" wrapText="0"/>
    </xf>
    <xf borderId="1" fillId="0" fontId="10" numFmtId="0" xfId="0" applyBorder="1" applyFont="1"/>
    <xf borderId="8" fillId="7" fontId="3" numFmtId="164" xfId="0" applyAlignment="1" applyBorder="1" applyFill="1" applyFont="1" applyNumberFormat="1">
      <alignment horizontal="right" shrinkToFit="0" vertical="bottom" wrapText="0"/>
    </xf>
    <xf borderId="8" fillId="7" fontId="9" numFmtId="164" xfId="0" applyAlignment="1" applyBorder="1" applyFont="1" applyNumberFormat="1">
      <alignment horizontal="right" shrinkToFit="0" vertical="bottom" wrapText="0"/>
    </xf>
    <xf borderId="8" fillId="0" fontId="3" numFmtId="0" xfId="0" applyAlignment="1" applyBorder="1" applyFont="1">
      <alignment shrinkToFit="0" vertical="bottom" wrapText="1"/>
    </xf>
    <xf borderId="0" fillId="0" fontId="13" numFmtId="0" xfId="0" applyFont="1"/>
    <xf borderId="13" fillId="0" fontId="3" numFmtId="0" xfId="0" applyAlignment="1" applyBorder="1" applyFont="1">
      <alignment shrinkToFit="0" vertical="bottom" wrapText="1"/>
    </xf>
    <xf borderId="9" fillId="0" fontId="9" numFmtId="0" xfId="0" applyAlignment="1" applyBorder="1" applyFont="1">
      <alignment shrinkToFit="0" vertical="bottom" wrapText="1"/>
    </xf>
    <xf borderId="10" fillId="0" fontId="3" numFmtId="0" xfId="0" applyAlignment="1" applyBorder="1" applyFont="1">
      <alignment shrinkToFit="0" vertical="bottom" wrapText="1"/>
    </xf>
    <xf borderId="0" fillId="0" fontId="7" numFmtId="10" xfId="0" applyFont="1" applyNumberFormat="1"/>
    <xf borderId="0" fillId="0" fontId="3" numFmtId="0" xfId="0" applyAlignment="1" applyFont="1">
      <alignment shrinkToFit="0" wrapText="1"/>
    </xf>
    <xf borderId="1" fillId="0" fontId="14" numFmtId="166" xfId="0" applyAlignment="1" applyBorder="1" applyFont="1" applyNumberFormat="1">
      <alignment horizontal="center" readingOrder="0" shrinkToFit="0" wrapText="1"/>
    </xf>
    <xf borderId="0" fillId="0" fontId="15" numFmtId="0" xfId="0" applyAlignment="1" applyFont="1">
      <alignment vertical="bottom"/>
    </xf>
    <xf borderId="0" fillId="0" fontId="15" numFmtId="0" xfId="0" applyFont="1"/>
    <xf borderId="0" fillId="0" fontId="15" numFmtId="0" xfId="0" applyAlignment="1" applyFont="1">
      <alignment horizontal="center" readingOrder="0"/>
    </xf>
    <xf borderId="0" fillId="0" fontId="16" numFmtId="0" xfId="0" applyFont="1"/>
    <xf borderId="0" fillId="0" fontId="17" numFmtId="0" xfId="0" applyFont="1"/>
    <xf borderId="0" fillId="0" fontId="3" numFmtId="0" xfId="0" applyFont="1"/>
    <xf borderId="0" fillId="0" fontId="18" numFmtId="0" xfId="0" applyAlignment="1" applyFont="1">
      <alignment horizontal="left" shrinkToFit="0" wrapText="1"/>
    </xf>
    <xf borderId="0" fillId="0" fontId="17" numFmtId="167" xfId="0" applyAlignment="1" applyFont="1" applyNumberFormat="1">
      <alignment horizontal="right" shrinkToFit="0" wrapText="1"/>
    </xf>
    <xf borderId="0" fillId="0" fontId="17" numFmtId="0" xfId="0" applyAlignment="1" applyFont="1">
      <alignment horizontal="center" shrinkToFit="0" wrapText="1"/>
    </xf>
    <xf borderId="14" fillId="8" fontId="17" numFmtId="9" xfId="0" applyAlignment="1" applyBorder="1" applyFill="1" applyFont="1" applyNumberFormat="1">
      <alignment horizontal="center"/>
    </xf>
    <xf borderId="15" fillId="9" fontId="19" numFmtId="166" xfId="0" applyBorder="1" applyFill="1" applyFont="1" applyNumberFormat="1"/>
    <xf borderId="14" fillId="10" fontId="20" numFmtId="166" xfId="0" applyBorder="1" applyFill="1" applyFont="1" applyNumberFormat="1"/>
    <xf borderId="0" fillId="0" fontId="21" numFmtId="1" xfId="0" applyFont="1" applyNumberFormat="1"/>
    <xf borderId="0" fillId="11" fontId="17" numFmtId="168" xfId="0" applyFill="1" applyFont="1" applyNumberFormat="1"/>
    <xf borderId="0" fillId="0" fontId="3" numFmtId="166" xfId="0" applyFont="1" applyNumberFormat="1"/>
    <xf borderId="15" fillId="9" fontId="19" numFmtId="10" xfId="0" applyBorder="1" applyFont="1" applyNumberFormat="1"/>
    <xf borderId="15" fillId="9" fontId="19" numFmtId="168" xfId="0" applyBorder="1" applyFont="1" applyNumberFormat="1"/>
    <xf borderId="15" fillId="11" fontId="19" numFmtId="168" xfId="0" applyBorder="1" applyFont="1" applyNumberFormat="1"/>
    <xf borderId="0" fillId="0" fontId="3" numFmtId="9" xfId="0" applyFont="1" applyNumberFormat="1"/>
    <xf borderId="0" fillId="0" fontId="17" numFmtId="164" xfId="0" applyAlignment="1" applyFont="1" applyNumberFormat="1">
      <alignment horizontal="right" shrinkToFit="0" wrapText="1"/>
    </xf>
    <xf borderId="0" fillId="0" fontId="17" numFmtId="9" xfId="0" applyFont="1" applyNumberFormat="1"/>
    <xf borderId="15" fillId="9" fontId="19" numFmtId="9" xfId="0" applyBorder="1" applyFont="1" applyNumberFormat="1"/>
    <xf borderId="0" fillId="7" fontId="17" numFmtId="166" xfId="0" applyFont="1" applyNumberFormat="1"/>
    <xf borderId="0" fillId="7" fontId="17" numFmtId="0" xfId="0" applyFont="1"/>
    <xf borderId="0" fillId="0" fontId="16" numFmtId="0" xfId="0" applyAlignment="1" applyFont="1">
      <alignment shrinkToFit="0" wrapText="1"/>
    </xf>
    <xf borderId="2" fillId="0" fontId="18" numFmtId="164" xfId="0" applyAlignment="1" applyBorder="1" applyFont="1" applyNumberFormat="1">
      <alignment horizontal="right" shrinkToFit="0" wrapText="1"/>
    </xf>
    <xf borderId="2" fillId="7" fontId="18" numFmtId="166" xfId="0" applyBorder="1" applyFont="1" applyNumberFormat="1"/>
    <xf borderId="0" fillId="0" fontId="17" numFmtId="164" xfId="0" applyAlignment="1" applyFont="1" applyNumberFormat="1">
      <alignment shrinkToFit="0" wrapText="1"/>
    </xf>
    <xf borderId="0" fillId="0" fontId="22" numFmtId="0" xfId="0" applyFont="1"/>
    <xf borderId="0" fillId="0" fontId="17" numFmtId="168" xfId="0" applyFont="1" applyNumberFormat="1"/>
    <xf borderId="13" fillId="9" fontId="19" numFmtId="9" xfId="0" applyBorder="1" applyFont="1" applyNumberFormat="1"/>
    <xf borderId="2" fillId="7" fontId="18" numFmtId="164" xfId="0" applyAlignment="1" applyBorder="1" applyFont="1" applyNumberFormat="1">
      <alignment horizontal="right" shrinkToFit="0" wrapText="1"/>
    </xf>
    <xf borderId="16" fillId="9" fontId="19" numFmtId="9" xfId="0" applyBorder="1" applyFont="1" applyNumberFormat="1"/>
    <xf borderId="2" fillId="0" fontId="19" numFmtId="9" xfId="0" applyBorder="1" applyFont="1" applyNumberFormat="1"/>
    <xf borderId="0" fillId="0" fontId="22" numFmtId="164" xfId="0" applyFont="1" applyNumberFormat="1"/>
    <xf borderId="0" fillId="0" fontId="18" numFmtId="0" xfId="0" applyAlignment="1" applyFont="1">
      <alignment shrinkToFit="0" vertical="bottom" wrapText="1"/>
    </xf>
    <xf borderId="0" fillId="0" fontId="17" numFmtId="164" xfId="0" applyAlignment="1" applyFont="1" applyNumberFormat="1">
      <alignment horizontal="center" shrinkToFit="0" vertical="bottom" wrapText="1"/>
    </xf>
    <xf borderId="0" fillId="0" fontId="23" numFmtId="164" xfId="0" applyFont="1" applyNumberFormat="1"/>
    <xf borderId="0" fillId="0" fontId="23" numFmtId="164" xfId="0" applyAlignment="1" applyFont="1" applyNumberFormat="1">
      <alignment horizontal="center"/>
    </xf>
    <xf borderId="15" fillId="9" fontId="19" numFmtId="0" xfId="0" applyBorder="1" applyFont="1"/>
    <xf borderId="2" fillId="7" fontId="18" numFmtId="166" xfId="0" applyAlignment="1" applyBorder="1" applyFont="1" applyNumberFormat="1">
      <alignment horizontal="right" shrinkToFit="0" wrapText="1"/>
    </xf>
    <xf borderId="0" fillId="0" fontId="17" numFmtId="166" xfId="0" applyAlignment="1" applyFont="1" applyNumberFormat="1">
      <alignment shrinkToFit="0" wrapText="1"/>
    </xf>
    <xf borderId="0" fillId="0" fontId="17" numFmtId="9" xfId="0" applyAlignment="1" applyFont="1" applyNumberFormat="1">
      <alignment horizontal="right" vertical="bottom"/>
    </xf>
    <xf borderId="0" fillId="0" fontId="17" numFmtId="166" xfId="0" applyFont="1" applyNumberFormat="1"/>
    <xf borderId="0" fillId="6" fontId="17" numFmtId="166" xfId="0" applyFont="1" applyNumberFormat="1"/>
    <xf borderId="0" fillId="0" fontId="17" numFmtId="0" xfId="0" applyAlignment="1" applyFont="1">
      <alignment horizontal="left" shrinkToFit="0" wrapText="1"/>
    </xf>
    <xf borderId="0" fillId="0" fontId="17" numFmtId="166" xfId="0" applyAlignment="1" applyFont="1" applyNumberFormat="1">
      <alignment horizontal="right" shrinkToFit="0" wrapText="1"/>
    </xf>
    <xf borderId="0" fillId="0" fontId="24" numFmtId="9" xfId="0" applyAlignment="1" applyFont="1" applyNumberFormat="1">
      <alignment vertical="bottom"/>
    </xf>
    <xf borderId="0" fillId="0" fontId="19" numFmtId="166" xfId="0" applyFont="1" applyNumberFormat="1"/>
    <xf borderId="0" fillId="0" fontId="25" numFmtId="166" xfId="0" applyAlignment="1" applyFont="1" applyNumberFormat="1">
      <alignment horizontal="right"/>
    </xf>
    <xf borderId="0" fillId="0" fontId="18" numFmtId="166" xfId="0" applyAlignment="1" applyFont="1" applyNumberFormat="1">
      <alignment horizontal="right"/>
    </xf>
    <xf borderId="0" fillId="12" fontId="26" numFmtId="166" xfId="0" applyFill="1" applyFont="1" applyNumberFormat="1"/>
    <xf borderId="0" fillId="0" fontId="26" numFmtId="0" xfId="0" applyFont="1"/>
    <xf borderId="0" fillId="0" fontId="18" numFmtId="166" xfId="0" applyAlignment="1" applyFont="1" applyNumberFormat="1">
      <alignment horizontal="right" shrinkToFit="0" wrapText="1"/>
    </xf>
    <xf borderId="0" fillId="3" fontId="27" numFmtId="166" xfId="0" applyAlignment="1" applyFont="1" applyNumberFormat="1">
      <alignment horizontal="right" shrinkToFit="0" wrapText="1"/>
    </xf>
    <xf borderId="0" fillId="3" fontId="28" numFmtId="0" xfId="0" applyFont="1"/>
    <xf borderId="0" fillId="3" fontId="27" numFmtId="169" xfId="0" applyAlignment="1" applyFont="1" applyNumberFormat="1">
      <alignment horizontal="right" shrinkToFit="0" wrapText="1"/>
    </xf>
    <xf borderId="0" fillId="0" fontId="24" numFmtId="166" xfId="0" applyAlignment="1" applyFont="1" applyNumberFormat="1">
      <alignment vertical="bottom"/>
    </xf>
    <xf borderId="0" fillId="0" fontId="17" numFmtId="169" xfId="0" applyAlignment="1" applyFont="1" applyNumberFormat="1">
      <alignment shrinkToFit="0" wrapText="1"/>
    </xf>
    <xf borderId="0" fillId="0" fontId="24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worksheet" Target="worksheets/sheet3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2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customXml" Target="../customXml/item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352425</xdr:colOff>
      <xdr:row>0</xdr:row>
      <xdr:rowOff>228600</xdr:rowOff>
    </xdr:from>
    <xdr:ext cx="990600" cy="9906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342900</xdr:colOff>
      <xdr:row>2</xdr:row>
      <xdr:rowOff>9525</xdr:rowOff>
    </xdr:from>
    <xdr:ext cx="990600" cy="9906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352425</xdr:colOff>
      <xdr:row>32</xdr:row>
      <xdr:rowOff>180975</xdr:rowOff>
    </xdr:from>
    <xdr:ext cx="1238250" cy="12382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21</xdr:col>
      <xdr:colOff>95250</xdr:colOff>
      <xdr:row>11</xdr:row>
      <xdr:rowOff>95250</xdr:rowOff>
    </xdr:from>
    <xdr:ext cx="1076325" cy="1076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 outlineLevelCol="1" outlineLevelRow="1"/>
  <cols>
    <col customWidth="1" min="1" max="1" width="21.88"/>
    <col customWidth="1" min="2" max="4" width="10.0"/>
    <col min="6" max="8" width="12.63" outlineLevel="1"/>
  </cols>
  <sheetData>
    <row r="1" ht="15.75" customHeight="1">
      <c r="A1" s="1"/>
    </row>
    <row r="2" ht="15.75" customHeight="1">
      <c r="A2" s="1" t="s">
        <v>0</v>
      </c>
    </row>
    <row r="3" ht="15.75" customHeight="1">
      <c r="A3" s="2" t="s">
        <v>1</v>
      </c>
    </row>
    <row r="4" ht="15.75" customHeight="1">
      <c r="A4" s="3"/>
      <c r="B4" s="3"/>
      <c r="C4" s="3"/>
      <c r="D4" s="3"/>
    </row>
    <row r="5" ht="15.75" customHeight="1">
      <c r="A5" s="4"/>
      <c r="B5" s="5">
        <v>2020.0</v>
      </c>
      <c r="C5" s="5">
        <v>2021.0</v>
      </c>
      <c r="D5" s="5">
        <v>2022.0</v>
      </c>
    </row>
    <row r="6" ht="15.75" customHeight="1">
      <c r="A6" s="6" t="s">
        <v>2</v>
      </c>
      <c r="B6" s="7"/>
      <c r="C6" s="7"/>
      <c r="D6" s="7"/>
    </row>
    <row r="7" ht="15.75" customHeight="1" collapsed="1">
      <c r="A7" s="6" t="s">
        <v>3</v>
      </c>
      <c r="B7" s="7"/>
      <c r="C7" s="7"/>
      <c r="D7" s="7"/>
    </row>
    <row r="8" ht="15.75" hidden="1" customHeight="1" outlineLevel="1">
      <c r="A8" s="6" t="s">
        <v>4</v>
      </c>
      <c r="B8" s="7"/>
      <c r="C8" s="7"/>
      <c r="D8" s="7"/>
    </row>
    <row r="9" ht="15.75" hidden="1" customHeight="1" outlineLevel="1">
      <c r="A9" s="6" t="s">
        <v>5</v>
      </c>
      <c r="B9" s="8">
        <v>2215.0</v>
      </c>
      <c r="C9" s="8">
        <v>3431.0</v>
      </c>
      <c r="D9" s="8">
        <v>1303.0</v>
      </c>
    </row>
    <row r="10" ht="15.75" hidden="1" customHeight="1" outlineLevel="1">
      <c r="A10" s="6" t="s">
        <v>6</v>
      </c>
      <c r="B10" s="9">
        <v>200.0</v>
      </c>
      <c r="C10" s="9">
        <v>0.0</v>
      </c>
      <c r="D10" s="9">
        <v>0.0</v>
      </c>
    </row>
    <row r="11" ht="15.75" hidden="1" customHeight="1" outlineLevel="1">
      <c r="A11" s="6" t="s">
        <v>7</v>
      </c>
      <c r="B11" s="9">
        <v>0.0</v>
      </c>
      <c r="C11" s="9">
        <v>0.0</v>
      </c>
      <c r="D11" s="9">
        <v>0.0</v>
      </c>
    </row>
    <row r="12" ht="15.75" hidden="1" customHeight="1" outlineLevel="1">
      <c r="A12" s="6" t="s">
        <v>8</v>
      </c>
      <c r="B12" s="9">
        <v>16.0</v>
      </c>
      <c r="C12" s="9">
        <v>16.0</v>
      </c>
      <c r="D12" s="9">
        <v>16.0</v>
      </c>
    </row>
    <row r="13" ht="15.75" hidden="1" customHeight="1" outlineLevel="1">
      <c r="A13" s="6" t="s">
        <v>9</v>
      </c>
      <c r="B13" s="9">
        <v>5.0</v>
      </c>
      <c r="C13" s="9">
        <v>5.0</v>
      </c>
      <c r="D13" s="9">
        <v>5.0</v>
      </c>
    </row>
    <row r="14" ht="15.75" customHeight="1" collapsed="1">
      <c r="A14" s="6" t="s">
        <v>10</v>
      </c>
      <c r="B14" s="10">
        <v>2436.0</v>
      </c>
      <c r="C14" s="10">
        <v>3452.0</v>
      </c>
      <c r="D14" s="10">
        <v>1324.0</v>
      </c>
    </row>
    <row r="15" ht="15.75" hidden="1" customHeight="1" outlineLevel="1">
      <c r="A15" s="6" t="s">
        <v>11</v>
      </c>
      <c r="B15" s="7"/>
      <c r="C15" s="7"/>
      <c r="D15" s="7"/>
    </row>
    <row r="16" ht="15.75" hidden="1" customHeight="1" outlineLevel="1">
      <c r="A16" s="6" t="s">
        <v>12</v>
      </c>
      <c r="B16" s="8">
        <v>5019.0</v>
      </c>
      <c r="C16" s="8">
        <v>1087.0</v>
      </c>
      <c r="D16" s="8">
        <v>7110.0</v>
      </c>
    </row>
    <row r="17" ht="15.75" customHeight="1" collapsed="1">
      <c r="A17" s="6" t="s">
        <v>13</v>
      </c>
      <c r="B17" s="10">
        <v>5019.0</v>
      </c>
      <c r="C17" s="10">
        <v>1087.0</v>
      </c>
      <c r="D17" s="10">
        <v>7110.0</v>
      </c>
    </row>
    <row r="18" ht="15.75" hidden="1" customHeight="1" outlineLevel="1">
      <c r="A18" s="6" t="s">
        <v>14</v>
      </c>
      <c r="B18" s="7"/>
      <c r="C18" s="7"/>
      <c r="D18" s="7"/>
    </row>
    <row r="19" ht="15.75" hidden="1" customHeight="1" outlineLevel="1">
      <c r="A19" s="6" t="s">
        <v>15</v>
      </c>
      <c r="B19" s="9">
        <v>268.0</v>
      </c>
      <c r="C19" s="9">
        <v>0.0</v>
      </c>
      <c r="D19" s="9">
        <v>0.0</v>
      </c>
    </row>
    <row r="20" ht="15.75" customHeight="1">
      <c r="A20" s="6" t="s">
        <v>16</v>
      </c>
      <c r="B20" s="10">
        <v>268.0</v>
      </c>
      <c r="C20" s="10">
        <v>0.0</v>
      </c>
      <c r="D20" s="10">
        <v>0.0</v>
      </c>
    </row>
    <row r="21" ht="15.75" customHeight="1" collapsed="1">
      <c r="A21" s="6" t="s">
        <v>17</v>
      </c>
      <c r="B21" s="10">
        <v>7722.0</v>
      </c>
      <c r="C21" s="10">
        <v>4540.0</v>
      </c>
      <c r="D21" s="10">
        <v>8434.0</v>
      </c>
    </row>
    <row r="22" ht="15.75" hidden="1" customHeight="1" outlineLevel="1">
      <c r="A22" s="6" t="s">
        <v>18</v>
      </c>
      <c r="B22" s="7"/>
      <c r="C22" s="7"/>
      <c r="D22" s="7"/>
    </row>
    <row r="23" ht="15.75" hidden="1" customHeight="1" outlineLevel="1">
      <c r="A23" s="6" t="s">
        <v>19</v>
      </c>
      <c r="B23" s="8">
        <v>575000.0</v>
      </c>
      <c r="C23" s="8">
        <v>575000.0</v>
      </c>
      <c r="D23" s="8">
        <v>575000.0</v>
      </c>
    </row>
    <row r="24" ht="15.75" hidden="1" customHeight="1" outlineLevel="1">
      <c r="A24" s="6" t="s">
        <v>20</v>
      </c>
      <c r="B24" s="8">
        <v>25000.0</v>
      </c>
      <c r="C24" s="8">
        <v>50000.0</v>
      </c>
      <c r="D24" s="8">
        <v>75000.0</v>
      </c>
    </row>
    <row r="25" ht="15.75" customHeight="1">
      <c r="A25" s="6" t="s">
        <v>21</v>
      </c>
      <c r="B25" s="10">
        <v>600000.0</v>
      </c>
      <c r="C25" s="10">
        <v>625000.0</v>
      </c>
      <c r="D25" s="10">
        <v>650000.0</v>
      </c>
    </row>
    <row r="26" ht="15.75" customHeight="1">
      <c r="A26" s="11" t="s">
        <v>22</v>
      </c>
      <c r="B26" s="12">
        <v>607722.0</v>
      </c>
      <c r="C26" s="12">
        <v>629540.0</v>
      </c>
      <c r="D26" s="12">
        <v>658434.0</v>
      </c>
    </row>
    <row r="27" ht="15.75" customHeight="1">
      <c r="A27" s="6" t="s">
        <v>23</v>
      </c>
      <c r="B27" s="13"/>
      <c r="C27" s="13"/>
      <c r="D27" s="13"/>
    </row>
    <row r="28" ht="15.75" customHeight="1" collapsed="1">
      <c r="A28" s="6" t="s">
        <v>24</v>
      </c>
      <c r="B28" s="7"/>
      <c r="C28" s="7"/>
      <c r="D28" s="7"/>
    </row>
    <row r="29" ht="15.75" hidden="1" customHeight="1" outlineLevel="1">
      <c r="A29" s="6" t="s">
        <v>25</v>
      </c>
      <c r="B29" s="7"/>
      <c r="C29" s="7"/>
      <c r="D29" s="7"/>
    </row>
    <row r="30" ht="15.75" hidden="1" customHeight="1" outlineLevel="1">
      <c r="A30" s="6" t="s">
        <v>26</v>
      </c>
      <c r="B30" s="7"/>
      <c r="C30" s="7"/>
      <c r="D30" s="7"/>
    </row>
    <row r="31" ht="15.75" hidden="1" customHeight="1" outlineLevel="1">
      <c r="A31" s="6" t="s">
        <v>27</v>
      </c>
      <c r="B31" s="8">
        <v>1166.0</v>
      </c>
      <c r="C31" s="8">
        <v>1166.0</v>
      </c>
      <c r="D31" s="8">
        <v>1066.0</v>
      </c>
    </row>
    <row r="32" ht="15.75" customHeight="1" collapsed="1">
      <c r="A32" s="6" t="s">
        <v>28</v>
      </c>
      <c r="B32" s="10">
        <v>1166.0</v>
      </c>
      <c r="C32" s="10">
        <v>1166.0</v>
      </c>
      <c r="D32" s="10">
        <v>1066.0</v>
      </c>
    </row>
    <row r="33" ht="15.75" hidden="1" customHeight="1" outlineLevel="1">
      <c r="A33" s="6" t="s">
        <v>29</v>
      </c>
      <c r="B33" s="7"/>
      <c r="C33" s="7"/>
      <c r="D33" s="7"/>
    </row>
    <row r="34" ht="15.75" hidden="1" customHeight="1" outlineLevel="1">
      <c r="A34" s="6" t="s">
        <v>30</v>
      </c>
      <c r="B34" s="8">
        <v>3713.0</v>
      </c>
      <c r="C34" s="8">
        <v>5256.0</v>
      </c>
      <c r="D34" s="8">
        <v>2597.0</v>
      </c>
    </row>
    <row r="35" ht="15.75" hidden="1" customHeight="1" outlineLevel="1">
      <c r="A35" s="6" t="s">
        <v>31</v>
      </c>
      <c r="B35" s="8">
        <v>10235.0</v>
      </c>
      <c r="C35" s="8">
        <v>2105.0</v>
      </c>
      <c r="D35" s="9">
        <v>558.0</v>
      </c>
    </row>
    <row r="36" ht="15.75" hidden="1" customHeight="1" outlineLevel="1">
      <c r="A36" s="6" t="s">
        <v>32</v>
      </c>
      <c r="B36" s="7"/>
      <c r="C36" s="8">
        <v>7015.0</v>
      </c>
      <c r="D36" s="8">
        <v>6043.0</v>
      </c>
    </row>
    <row r="37" ht="15.75" customHeight="1">
      <c r="A37" s="6" t="s">
        <v>33</v>
      </c>
      <c r="B37" s="10">
        <v>13948.0</v>
      </c>
      <c r="C37" s="10">
        <v>14376.0</v>
      </c>
      <c r="D37" s="10">
        <v>9198.0</v>
      </c>
    </row>
    <row r="38" ht="15.75" customHeight="1">
      <c r="A38" s="6" t="s">
        <v>34</v>
      </c>
      <c r="B38" s="10">
        <v>15114.0</v>
      </c>
      <c r="C38" s="10">
        <v>15542.0</v>
      </c>
      <c r="D38" s="10">
        <v>10264.0</v>
      </c>
    </row>
    <row r="39" ht="15.75" customHeight="1" collapsed="1">
      <c r="A39" s="6" t="s">
        <v>35</v>
      </c>
      <c r="B39" s="7"/>
      <c r="C39" s="7"/>
      <c r="D39" s="7"/>
    </row>
    <row r="40" ht="15.75" hidden="1" customHeight="1" outlineLevel="1">
      <c r="A40" s="6" t="s">
        <v>36</v>
      </c>
      <c r="B40" s="8">
        <v>575000.0</v>
      </c>
      <c r="C40" s="8">
        <v>542058.0</v>
      </c>
      <c r="D40" s="8">
        <v>509117.0</v>
      </c>
    </row>
    <row r="41" ht="15.75" hidden="1" customHeight="1" outlineLevel="1">
      <c r="A41" s="6" t="s">
        <v>37</v>
      </c>
      <c r="B41" s="7"/>
      <c r="C41" s="9"/>
      <c r="D41" s="9"/>
    </row>
    <row r="42" ht="15.75" hidden="1" customHeight="1" outlineLevel="1">
      <c r="A42" s="6" t="s">
        <v>38</v>
      </c>
      <c r="B42" s="8">
        <v>3070.0</v>
      </c>
      <c r="C42" s="9">
        <v>20.0</v>
      </c>
      <c r="D42" s="9">
        <v>0.0</v>
      </c>
    </row>
    <row r="43" ht="15.75" hidden="1" customHeight="1" outlineLevel="1">
      <c r="A43" s="6" t="s">
        <v>39</v>
      </c>
      <c r="B43" s="8">
        <v>28668.0</v>
      </c>
      <c r="C43" s="8">
        <v>23355.0</v>
      </c>
      <c r="D43" s="8">
        <v>17633.0</v>
      </c>
    </row>
    <row r="44" ht="15.75" hidden="1" customHeight="1" outlineLevel="1">
      <c r="A44" s="6" t="s">
        <v>40</v>
      </c>
      <c r="B44" s="8">
        <v>6000.0</v>
      </c>
      <c r="C44" s="8">
        <v>6000.0</v>
      </c>
      <c r="D44" s="8">
        <v>6000.0</v>
      </c>
    </row>
    <row r="45" ht="15.75" hidden="1" customHeight="1" outlineLevel="1">
      <c r="A45" s="6" t="s">
        <v>41</v>
      </c>
      <c r="B45" s="8">
        <v>8800.0</v>
      </c>
      <c r="C45" s="8">
        <v>5200.0</v>
      </c>
      <c r="D45" s="8">
        <v>1600.0</v>
      </c>
    </row>
    <row r="46" ht="15.75" hidden="1" customHeight="1" outlineLevel="1">
      <c r="A46" s="6" t="s">
        <v>42</v>
      </c>
      <c r="B46" s="8">
        <v>7642.0</v>
      </c>
      <c r="C46" s="8">
        <v>5164.0</v>
      </c>
      <c r="D46" s="8">
        <v>2685.0</v>
      </c>
    </row>
    <row r="47" ht="15.75" customHeight="1">
      <c r="A47" s="6" t="s">
        <v>43</v>
      </c>
      <c r="B47" s="10">
        <v>54180.0</v>
      </c>
      <c r="C47" s="10">
        <v>39739.0</v>
      </c>
      <c r="D47" s="10">
        <v>27919.0</v>
      </c>
    </row>
    <row r="48" ht="15.75" customHeight="1">
      <c r="A48" s="6" t="s">
        <v>44</v>
      </c>
      <c r="B48" s="10">
        <v>629180.0</v>
      </c>
      <c r="C48" s="10">
        <v>581797.0</v>
      </c>
      <c r="D48" s="10">
        <v>537035.0</v>
      </c>
    </row>
    <row r="49" ht="15.75" customHeight="1">
      <c r="A49" s="14" t="s">
        <v>45</v>
      </c>
      <c r="B49" s="15">
        <v>644294.0</v>
      </c>
      <c r="C49" s="15">
        <v>597339.0</v>
      </c>
      <c r="D49" s="15">
        <v>547299.0</v>
      </c>
    </row>
    <row r="50" ht="15.75" customHeight="1" collapsed="1">
      <c r="A50" s="6" t="s">
        <v>46</v>
      </c>
      <c r="B50" s="7"/>
      <c r="C50" s="7"/>
      <c r="D50" s="7"/>
    </row>
    <row r="51" ht="15.75" hidden="1" customHeight="1" outlineLevel="1">
      <c r="A51" s="6" t="s">
        <v>47</v>
      </c>
      <c r="B51" s="8">
        <v>25000.0</v>
      </c>
      <c r="C51" s="8">
        <v>50000.0</v>
      </c>
      <c r="D51" s="8">
        <v>75000.0</v>
      </c>
    </row>
    <row r="52" ht="15.75" hidden="1" customHeight="1" outlineLevel="1">
      <c r="A52" s="6" t="s">
        <v>48</v>
      </c>
      <c r="B52" s="8">
        <v>-61841.0</v>
      </c>
      <c r="C52" s="8">
        <v>-61571.0</v>
      </c>
      <c r="D52" s="8">
        <v>-17799.0</v>
      </c>
    </row>
    <row r="53" ht="15.75" hidden="1" customHeight="1" outlineLevel="1">
      <c r="A53" s="6" t="s">
        <v>49</v>
      </c>
      <c r="B53" s="9">
        <v>270.0</v>
      </c>
      <c r="C53" s="8">
        <v>43772.0</v>
      </c>
      <c r="D53" s="8">
        <v>53934.0</v>
      </c>
      <c r="E53" s="16" t="s">
        <v>50</v>
      </c>
      <c r="F53" s="16"/>
      <c r="G53" s="16"/>
      <c r="H53" s="16"/>
    </row>
    <row r="54" ht="15.75" customHeight="1">
      <c r="A54" s="14" t="s">
        <v>51</v>
      </c>
      <c r="B54" s="15">
        <v>-36571.0</v>
      </c>
      <c r="C54" s="15">
        <v>32201.0</v>
      </c>
      <c r="D54" s="15">
        <v>111135.0</v>
      </c>
    </row>
    <row r="55" ht="15.75" customHeight="1">
      <c r="A55" s="11" t="s">
        <v>52</v>
      </c>
      <c r="B55" s="12">
        <v>607722.0</v>
      </c>
      <c r="C55" s="12">
        <v>629540.0</v>
      </c>
      <c r="D55" s="12">
        <v>658434.0</v>
      </c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2:D2"/>
    <mergeCell ref="A3:D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1.88"/>
    <col customWidth="1" min="2" max="4" width="10.0"/>
  </cols>
  <sheetData>
    <row r="1" ht="15.75" customHeight="1">
      <c r="A1" s="1"/>
    </row>
    <row r="2" ht="15.75" customHeight="1">
      <c r="A2" s="1" t="s">
        <v>0</v>
      </c>
    </row>
    <row r="3" ht="15.75" customHeight="1">
      <c r="A3" s="2" t="s">
        <v>1</v>
      </c>
    </row>
    <row r="4" ht="15.75" customHeight="1">
      <c r="A4" s="3"/>
      <c r="B4" s="3"/>
      <c r="C4" s="3"/>
      <c r="D4" s="3"/>
    </row>
    <row r="5" ht="15.75" customHeight="1">
      <c r="A5" s="4"/>
      <c r="B5" s="5">
        <v>2020.0</v>
      </c>
      <c r="C5" s="5">
        <v>2021.0</v>
      </c>
      <c r="D5" s="5">
        <v>2022.0</v>
      </c>
    </row>
    <row r="6" ht="15.75" customHeight="1">
      <c r="A6" s="6" t="s">
        <v>2</v>
      </c>
      <c r="B6" s="7"/>
      <c r="C6" s="7"/>
      <c r="D6" s="7"/>
    </row>
    <row r="7" ht="15.75" customHeight="1">
      <c r="A7" s="6" t="s">
        <v>3</v>
      </c>
      <c r="B7" s="7"/>
      <c r="C7" s="7"/>
      <c r="D7" s="7"/>
    </row>
    <row r="8" ht="15.75" customHeight="1">
      <c r="A8" s="6" t="s">
        <v>4</v>
      </c>
      <c r="B8" s="7"/>
      <c r="C8" s="7"/>
      <c r="D8" s="7"/>
    </row>
    <row r="9" ht="15.75" customHeight="1">
      <c r="A9" s="6" t="s">
        <v>5</v>
      </c>
      <c r="B9" s="8">
        <v>2215.0</v>
      </c>
      <c r="C9" s="8">
        <v>3431.0</v>
      </c>
      <c r="D9" s="8">
        <v>1303.0</v>
      </c>
    </row>
    <row r="10" ht="15.75" customHeight="1">
      <c r="A10" s="6" t="s">
        <v>6</v>
      </c>
      <c r="B10" s="9">
        <v>200.0</v>
      </c>
      <c r="C10" s="9">
        <v>0.0</v>
      </c>
      <c r="D10" s="9">
        <v>0.0</v>
      </c>
    </row>
    <row r="11" ht="15.75" customHeight="1">
      <c r="A11" s="6" t="s">
        <v>7</v>
      </c>
      <c r="B11" s="9">
        <v>0.0</v>
      </c>
      <c r="C11" s="9">
        <v>0.0</v>
      </c>
      <c r="D11" s="9">
        <v>0.0</v>
      </c>
    </row>
    <row r="12" ht="15.75" customHeight="1">
      <c r="A12" s="6" t="s">
        <v>8</v>
      </c>
      <c r="B12" s="9">
        <v>16.0</v>
      </c>
      <c r="C12" s="9">
        <v>16.0</v>
      </c>
      <c r="D12" s="9">
        <v>16.0</v>
      </c>
    </row>
    <row r="13" ht="15.75" customHeight="1">
      <c r="A13" s="6" t="s">
        <v>9</v>
      </c>
      <c r="B13" s="9">
        <v>5.0</v>
      </c>
      <c r="C13" s="9">
        <v>5.0</v>
      </c>
      <c r="D13" s="9">
        <v>5.0</v>
      </c>
    </row>
    <row r="14" ht="15.75" customHeight="1">
      <c r="A14" s="6" t="s">
        <v>10</v>
      </c>
      <c r="B14" s="10">
        <v>2436.0</v>
      </c>
      <c r="C14" s="10">
        <v>3452.0</v>
      </c>
      <c r="D14" s="10">
        <v>1324.0</v>
      </c>
    </row>
    <row r="15" ht="15.75" customHeight="1">
      <c r="A15" s="6" t="s">
        <v>11</v>
      </c>
      <c r="B15" s="7"/>
      <c r="C15" s="7"/>
      <c r="D15" s="7"/>
    </row>
    <row r="16" ht="15.75" customHeight="1">
      <c r="A16" s="6" t="s">
        <v>12</v>
      </c>
      <c r="B16" s="8">
        <v>5019.0</v>
      </c>
      <c r="C16" s="8">
        <v>1087.0</v>
      </c>
      <c r="D16" s="8">
        <v>7110.0</v>
      </c>
    </row>
    <row r="17" ht="15.75" customHeight="1">
      <c r="A17" s="6" t="s">
        <v>13</v>
      </c>
      <c r="B17" s="10">
        <v>5019.0</v>
      </c>
      <c r="C17" s="10">
        <v>1087.0</v>
      </c>
      <c r="D17" s="10">
        <v>7110.0</v>
      </c>
    </row>
    <row r="18" ht="15.75" customHeight="1">
      <c r="A18" s="6" t="s">
        <v>14</v>
      </c>
      <c r="B18" s="7"/>
      <c r="C18" s="7"/>
      <c r="D18" s="7"/>
    </row>
    <row r="19" ht="15.75" customHeight="1">
      <c r="A19" s="6" t="s">
        <v>15</v>
      </c>
      <c r="B19" s="9">
        <v>268.0</v>
      </c>
      <c r="C19" s="9">
        <v>0.0</v>
      </c>
      <c r="D19" s="9">
        <v>0.0</v>
      </c>
    </row>
    <row r="20" ht="15.75" customHeight="1">
      <c r="A20" s="6" t="s">
        <v>16</v>
      </c>
      <c r="B20" s="10">
        <v>268.0</v>
      </c>
      <c r="C20" s="10">
        <v>0.0</v>
      </c>
      <c r="D20" s="10">
        <v>0.0</v>
      </c>
    </row>
    <row r="21" ht="15.75" customHeight="1">
      <c r="A21" s="6" t="s">
        <v>17</v>
      </c>
      <c r="B21" s="10">
        <v>7722.0</v>
      </c>
      <c r="C21" s="10">
        <v>4540.0</v>
      </c>
      <c r="D21" s="10">
        <v>8434.0</v>
      </c>
    </row>
    <row r="22" ht="15.75" customHeight="1">
      <c r="A22" s="6" t="s">
        <v>18</v>
      </c>
      <c r="B22" s="7"/>
      <c r="C22" s="7"/>
      <c r="D22" s="7"/>
    </row>
    <row r="23" ht="15.75" customHeight="1">
      <c r="A23" s="6" t="s">
        <v>19</v>
      </c>
      <c r="B23" s="8">
        <v>575000.0</v>
      </c>
      <c r="C23" s="8">
        <v>575000.0</v>
      </c>
      <c r="D23" s="8">
        <v>575000.0</v>
      </c>
    </row>
    <row r="24" ht="15.75" customHeight="1">
      <c r="A24" s="6" t="s">
        <v>20</v>
      </c>
      <c r="B24" s="8">
        <v>25000.0</v>
      </c>
      <c r="C24" s="8">
        <v>50000.0</v>
      </c>
      <c r="D24" s="8">
        <v>75000.0</v>
      </c>
    </row>
    <row r="25" ht="15.75" customHeight="1">
      <c r="A25" s="6" t="s">
        <v>21</v>
      </c>
      <c r="B25" s="10">
        <v>600000.0</v>
      </c>
      <c r="C25" s="10">
        <v>625000.0</v>
      </c>
      <c r="D25" s="10">
        <v>650000.0</v>
      </c>
    </row>
    <row r="26" ht="15.75" customHeight="1">
      <c r="A26" s="6" t="s">
        <v>22</v>
      </c>
      <c r="B26" s="10">
        <v>607722.0</v>
      </c>
      <c r="C26" s="10">
        <v>629540.0</v>
      </c>
      <c r="D26" s="10">
        <v>658434.0</v>
      </c>
    </row>
    <row r="27" ht="15.75" customHeight="1">
      <c r="A27" s="17" t="s">
        <v>23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5.75" customHeight="1">
      <c r="A28" s="6" t="s">
        <v>24</v>
      </c>
      <c r="B28" s="7"/>
      <c r="C28" s="7"/>
      <c r="D28" s="7"/>
    </row>
    <row r="29" ht="15.75" customHeight="1">
      <c r="A29" s="6" t="s">
        <v>25</v>
      </c>
      <c r="B29" s="7"/>
      <c r="C29" s="7"/>
      <c r="D29" s="7"/>
    </row>
    <row r="30" ht="15.75" customHeight="1">
      <c r="A30" s="6" t="s">
        <v>26</v>
      </c>
      <c r="B30" s="7"/>
      <c r="C30" s="7"/>
      <c r="D30" s="7"/>
    </row>
    <row r="31" ht="15.75" customHeight="1">
      <c r="A31" s="6" t="s">
        <v>27</v>
      </c>
      <c r="B31" s="8">
        <v>1166.0</v>
      </c>
      <c r="C31" s="8">
        <v>1166.0</v>
      </c>
      <c r="D31" s="8">
        <v>1066.0</v>
      </c>
    </row>
    <row r="32" ht="15.75" customHeight="1">
      <c r="A32" s="6" t="s">
        <v>28</v>
      </c>
      <c r="B32" s="10">
        <v>1166.0</v>
      </c>
      <c r="C32" s="10">
        <v>1166.0</v>
      </c>
      <c r="D32" s="10">
        <v>1066.0</v>
      </c>
    </row>
    <row r="33" ht="15.75" customHeight="1">
      <c r="A33" s="6" t="s">
        <v>29</v>
      </c>
      <c r="B33" s="7"/>
      <c r="C33" s="7"/>
      <c r="D33" s="7"/>
    </row>
    <row r="34" ht="15.75" customHeight="1">
      <c r="A34" s="6" t="s">
        <v>30</v>
      </c>
      <c r="B34" s="8">
        <v>3713.0</v>
      </c>
      <c r="C34" s="8">
        <v>5256.0</v>
      </c>
      <c r="D34" s="8">
        <v>2597.0</v>
      </c>
    </row>
    <row r="35" ht="15.75" customHeight="1">
      <c r="A35" s="6" t="s">
        <v>31</v>
      </c>
      <c r="B35" s="8">
        <v>10235.0</v>
      </c>
      <c r="C35" s="8">
        <v>2105.0</v>
      </c>
      <c r="D35" s="9">
        <v>558.0</v>
      </c>
    </row>
    <row r="36" ht="15.75" customHeight="1">
      <c r="A36" s="6" t="s">
        <v>32</v>
      </c>
      <c r="B36" s="7"/>
      <c r="C36" s="8">
        <v>7015.0</v>
      </c>
      <c r="D36" s="8">
        <v>6043.0</v>
      </c>
    </row>
    <row r="37" ht="15.75" customHeight="1">
      <c r="A37" s="6" t="s">
        <v>33</v>
      </c>
      <c r="B37" s="10">
        <v>13948.0</v>
      </c>
      <c r="C37" s="10">
        <v>14376.0</v>
      </c>
      <c r="D37" s="10">
        <v>9198.0</v>
      </c>
    </row>
    <row r="38" ht="15.75" customHeight="1">
      <c r="A38" s="6" t="s">
        <v>34</v>
      </c>
      <c r="B38" s="10">
        <v>15114.0</v>
      </c>
      <c r="C38" s="10">
        <v>15542.0</v>
      </c>
      <c r="D38" s="10">
        <v>10264.0</v>
      </c>
    </row>
    <row r="39" ht="15.75" customHeight="1">
      <c r="A39" s="6" t="s">
        <v>35</v>
      </c>
      <c r="B39" s="7"/>
      <c r="C39" s="7"/>
      <c r="D39" s="7"/>
    </row>
    <row r="40" ht="15.75" customHeight="1">
      <c r="A40" s="19" t="s">
        <v>36</v>
      </c>
      <c r="B40" s="20">
        <v>575000.0</v>
      </c>
      <c r="C40" s="20">
        <v>542058.0</v>
      </c>
      <c r="D40" s="21">
        <v>509117.0</v>
      </c>
      <c r="E40" s="22" t="s">
        <v>53</v>
      </c>
    </row>
    <row r="41" ht="15.75" customHeight="1">
      <c r="A41" s="23" t="s">
        <v>37</v>
      </c>
      <c r="B41" s="24"/>
      <c r="C41" s="25"/>
      <c r="D41" s="26"/>
    </row>
    <row r="42" ht="15.75" customHeight="1">
      <c r="A42" s="23" t="s">
        <v>38</v>
      </c>
      <c r="B42" s="27">
        <v>3070.0</v>
      </c>
      <c r="C42" s="25">
        <v>20.0</v>
      </c>
      <c r="D42" s="26">
        <v>0.0</v>
      </c>
    </row>
    <row r="43" ht="15.75" customHeight="1">
      <c r="A43" s="23" t="s">
        <v>39</v>
      </c>
      <c r="B43" s="27">
        <v>28668.0</v>
      </c>
      <c r="C43" s="27">
        <v>23355.0</v>
      </c>
      <c r="D43" s="28">
        <v>17633.0</v>
      </c>
    </row>
    <row r="44" ht="15.75" customHeight="1">
      <c r="A44" s="23" t="s">
        <v>40</v>
      </c>
      <c r="B44" s="27">
        <v>6000.0</v>
      </c>
      <c r="C44" s="27">
        <v>6000.0</v>
      </c>
      <c r="D44" s="28">
        <v>6000.0</v>
      </c>
      <c r="E44" s="22" t="s">
        <v>54</v>
      </c>
    </row>
    <row r="45" ht="15.75" customHeight="1">
      <c r="A45" s="23" t="s">
        <v>41</v>
      </c>
      <c r="B45" s="27">
        <v>8800.0</v>
      </c>
      <c r="C45" s="27">
        <v>5200.0</v>
      </c>
      <c r="D45" s="28">
        <v>1600.0</v>
      </c>
    </row>
    <row r="46" ht="15.75" customHeight="1">
      <c r="A46" s="29" t="s">
        <v>42</v>
      </c>
      <c r="B46" s="30">
        <v>7642.0</v>
      </c>
      <c r="C46" s="30">
        <v>5164.0</v>
      </c>
      <c r="D46" s="31">
        <v>2685.0</v>
      </c>
    </row>
    <row r="47" ht="15.75" customHeight="1">
      <c r="A47" s="6" t="s">
        <v>43</v>
      </c>
      <c r="B47" s="10">
        <v>54180.0</v>
      </c>
      <c r="C47" s="10">
        <v>39739.0</v>
      </c>
      <c r="D47" s="10">
        <v>27919.0</v>
      </c>
    </row>
    <row r="48" ht="15.75" customHeight="1">
      <c r="A48" s="6" t="s">
        <v>44</v>
      </c>
      <c r="B48" s="10">
        <v>629180.0</v>
      </c>
      <c r="C48" s="10">
        <v>581797.0</v>
      </c>
      <c r="D48" s="10">
        <v>537035.0</v>
      </c>
    </row>
    <row r="49" ht="15.75" customHeight="1">
      <c r="A49" s="6" t="s">
        <v>45</v>
      </c>
      <c r="B49" s="10">
        <v>644294.0</v>
      </c>
      <c r="C49" s="10">
        <v>597339.0</v>
      </c>
      <c r="D49" s="10">
        <v>547299.0</v>
      </c>
    </row>
    <row r="50" ht="15.75" customHeight="1">
      <c r="A50" s="6" t="s">
        <v>46</v>
      </c>
      <c r="B50" s="7"/>
      <c r="C50" s="7"/>
      <c r="D50" s="7"/>
    </row>
    <row r="51" ht="15.75" customHeight="1">
      <c r="A51" s="6" t="s">
        <v>47</v>
      </c>
      <c r="B51" s="8">
        <v>25000.0</v>
      </c>
      <c r="C51" s="8">
        <v>50000.0</v>
      </c>
      <c r="D51" s="8">
        <v>75000.0</v>
      </c>
    </row>
    <row r="52" ht="15.75" customHeight="1">
      <c r="A52" s="6" t="s">
        <v>48</v>
      </c>
      <c r="B52" s="8">
        <v>-61841.0</v>
      </c>
      <c r="C52" s="8">
        <v>-61571.0</v>
      </c>
      <c r="D52" s="8">
        <v>-17799.0</v>
      </c>
    </row>
    <row r="53" ht="15.75" customHeight="1">
      <c r="A53" s="6" t="s">
        <v>49</v>
      </c>
      <c r="B53" s="9">
        <v>270.0</v>
      </c>
      <c r="C53" s="8">
        <v>43772.0</v>
      </c>
      <c r="D53" s="8">
        <v>53934.0</v>
      </c>
    </row>
    <row r="54" ht="15.75" customHeight="1">
      <c r="A54" s="6" t="s">
        <v>51</v>
      </c>
      <c r="B54" s="10">
        <v>-36571.0</v>
      </c>
      <c r="C54" s="10">
        <v>32201.0</v>
      </c>
      <c r="D54" s="12">
        <v>111135.0</v>
      </c>
    </row>
    <row r="55" ht="15.75" customHeight="1">
      <c r="A55" s="6" t="s">
        <v>52</v>
      </c>
      <c r="B55" s="10">
        <v>607722.0</v>
      </c>
      <c r="C55" s="10">
        <v>629540.0</v>
      </c>
      <c r="D55" s="10">
        <v>658434.0</v>
      </c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D1"/>
    <mergeCell ref="A2:D2"/>
    <mergeCell ref="E40:F42"/>
    <mergeCell ref="E44:F46"/>
    <mergeCell ref="A3:D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.5"/>
    <col customWidth="1" min="2" max="2" width="11.13"/>
    <col customWidth="1" min="3" max="3" width="9.25"/>
    <col customWidth="1" min="4" max="4" width="20.25"/>
    <col customWidth="1" min="5" max="5" width="15.75"/>
    <col customWidth="1" min="12" max="12" width="36.75"/>
  </cols>
  <sheetData>
    <row r="1" ht="15.75" customHeight="1">
      <c r="L1" s="22"/>
    </row>
    <row r="2" ht="15.75" customHeight="1">
      <c r="B2" s="32" t="s">
        <v>55</v>
      </c>
      <c r="L2" s="22"/>
    </row>
    <row r="3" ht="15.75" customHeight="1">
      <c r="L3" s="22"/>
    </row>
    <row r="4" ht="29.25" customHeight="1">
      <c r="B4" s="33" t="s">
        <v>56</v>
      </c>
      <c r="C4" s="34"/>
      <c r="D4" s="35"/>
      <c r="E4" s="36" t="s">
        <v>57</v>
      </c>
      <c r="F4" s="37" t="s">
        <v>58</v>
      </c>
      <c r="G4" s="37" t="s">
        <v>59</v>
      </c>
      <c r="H4" s="37" t="s">
        <v>60</v>
      </c>
      <c r="I4" s="37" t="s">
        <v>61</v>
      </c>
      <c r="J4" s="37" t="s">
        <v>62</v>
      </c>
      <c r="K4" s="37" t="s">
        <v>63</v>
      </c>
      <c r="L4" s="38" t="s">
        <v>64</v>
      </c>
    </row>
    <row r="5" ht="15.75" customHeight="1">
      <c r="B5" s="39"/>
      <c r="C5" s="40"/>
      <c r="D5" s="41" t="s">
        <v>36</v>
      </c>
      <c r="E5" s="42">
        <v>509117.0</v>
      </c>
      <c r="F5" s="42">
        <v>2450.0</v>
      </c>
      <c r="G5" s="43">
        <v>43619.0</v>
      </c>
      <c r="H5" s="42">
        <v>575000.0</v>
      </c>
      <c r="I5" s="44" t="s">
        <v>65</v>
      </c>
      <c r="J5" s="44">
        <v>4.0</v>
      </c>
      <c r="K5" s="43">
        <v>18052.0</v>
      </c>
      <c r="L5" s="45" t="s">
        <v>66</v>
      </c>
    </row>
    <row r="6" ht="15.75" customHeight="1">
      <c r="B6" s="39"/>
      <c r="C6" s="40"/>
      <c r="D6" s="41" t="s">
        <v>38</v>
      </c>
      <c r="E6" s="42">
        <v>0.0</v>
      </c>
      <c r="F6" s="42">
        <v>0.0</v>
      </c>
      <c r="G6" s="43">
        <v>41231.0</v>
      </c>
      <c r="H6" s="42">
        <v>25000.0</v>
      </c>
      <c r="I6" s="44" t="s">
        <v>67</v>
      </c>
      <c r="J6" s="44">
        <v>5.75</v>
      </c>
      <c r="K6" s="43">
        <v>44883.0</v>
      </c>
      <c r="L6" s="45" t="s">
        <v>68</v>
      </c>
    </row>
    <row r="7" ht="15.75" customHeight="1">
      <c r="B7" s="39"/>
      <c r="C7" s="40"/>
      <c r="D7" s="41" t="s">
        <v>39</v>
      </c>
      <c r="E7" s="42">
        <v>17633.0</v>
      </c>
      <c r="F7" s="42">
        <v>590.0</v>
      </c>
      <c r="G7" s="43">
        <v>43334.0</v>
      </c>
      <c r="H7" s="42">
        <v>50000.0</v>
      </c>
      <c r="I7" s="44" t="s">
        <v>67</v>
      </c>
      <c r="J7" s="44">
        <v>6.75</v>
      </c>
      <c r="K7" s="46">
        <v>46987.0</v>
      </c>
      <c r="L7" s="45" t="s">
        <v>69</v>
      </c>
    </row>
    <row r="8" ht="15.75" customHeight="1">
      <c r="B8" s="39"/>
      <c r="C8" s="40"/>
      <c r="D8" s="41" t="s">
        <v>40</v>
      </c>
      <c r="E8" s="42">
        <v>6000.0</v>
      </c>
      <c r="F8" s="42">
        <v>0.0</v>
      </c>
      <c r="G8" s="43">
        <v>44029.0</v>
      </c>
      <c r="H8" s="42">
        <v>6000.0</v>
      </c>
      <c r="I8" s="44" t="s">
        <v>70</v>
      </c>
      <c r="J8" s="44">
        <v>0.0</v>
      </c>
      <c r="K8" s="47"/>
      <c r="L8" s="45" t="s">
        <v>71</v>
      </c>
    </row>
    <row r="9" ht="15.75" customHeight="1">
      <c r="B9" s="39"/>
      <c r="C9" s="40"/>
      <c r="D9" s="41" t="s">
        <v>72</v>
      </c>
      <c r="E9" s="42">
        <v>1600.0</v>
      </c>
      <c r="F9" s="42">
        <v>300.0</v>
      </c>
      <c r="G9" s="43">
        <v>43586.0</v>
      </c>
      <c r="H9" s="42">
        <v>10000.0</v>
      </c>
      <c r="I9" s="44" t="s">
        <v>73</v>
      </c>
      <c r="J9" s="44">
        <v>0.0</v>
      </c>
      <c r="K9" s="43">
        <v>45107.0</v>
      </c>
      <c r="L9" s="45" t="s">
        <v>74</v>
      </c>
    </row>
    <row r="10" ht="15.75" customHeight="1">
      <c r="B10" s="39"/>
      <c r="C10" s="40"/>
      <c r="D10" s="41" t="s">
        <v>42</v>
      </c>
      <c r="E10" s="48">
        <v>2685.0</v>
      </c>
      <c r="F10" s="42">
        <v>400.0</v>
      </c>
      <c r="G10" s="43">
        <v>43586.0</v>
      </c>
      <c r="H10" s="42">
        <v>13000.0</v>
      </c>
      <c r="I10" s="44" t="s">
        <v>75</v>
      </c>
      <c r="J10" s="44">
        <v>0.0</v>
      </c>
      <c r="K10" s="43">
        <v>45292.0</v>
      </c>
      <c r="L10" s="45" t="s">
        <v>76</v>
      </c>
    </row>
    <row r="11" ht="15.75" customHeight="1">
      <c r="B11" s="39"/>
      <c r="C11" s="40"/>
      <c r="D11" s="49"/>
      <c r="E11" s="49"/>
      <c r="F11" s="49"/>
      <c r="G11" s="50"/>
      <c r="H11" s="49"/>
      <c r="I11" s="49"/>
      <c r="J11" s="49"/>
      <c r="K11" s="49"/>
      <c r="L11" s="45"/>
    </row>
    <row r="12" ht="15.75" customHeight="1">
      <c r="B12" s="51"/>
      <c r="C12" s="52"/>
      <c r="D12" s="49"/>
      <c r="E12" s="49"/>
      <c r="F12" s="49"/>
      <c r="G12" s="50"/>
      <c r="H12" s="49"/>
      <c r="I12" s="49"/>
      <c r="J12" s="49"/>
      <c r="K12" s="49"/>
      <c r="L12" s="45"/>
    </row>
    <row r="13" ht="15.75" customHeight="1">
      <c r="A13" s="53"/>
      <c r="B13" s="51"/>
      <c r="C13" s="52"/>
      <c r="D13" s="49"/>
      <c r="E13" s="49"/>
      <c r="F13" s="49"/>
      <c r="G13" s="50"/>
      <c r="H13" s="49"/>
      <c r="I13" s="49"/>
      <c r="J13" s="49"/>
      <c r="K13" s="49"/>
      <c r="L13" s="45"/>
    </row>
    <row r="14" ht="15.75" customHeight="1">
      <c r="A14" s="53"/>
      <c r="B14" s="54" t="s">
        <v>77</v>
      </c>
      <c r="C14" s="55"/>
      <c r="D14" s="51"/>
      <c r="E14" s="56">
        <f t="shared" ref="E14:F14" si="1">SUM(E5:E10)</f>
        <v>537035</v>
      </c>
      <c r="F14" s="57">
        <f t="shared" si="1"/>
        <v>3740</v>
      </c>
      <c r="G14" s="51"/>
      <c r="H14" s="51"/>
      <c r="I14" s="51"/>
      <c r="J14" s="51"/>
      <c r="K14" s="51"/>
      <c r="L14" s="58"/>
    </row>
    <row r="15" ht="15.75" customHeight="1">
      <c r="L15" s="22"/>
    </row>
    <row r="16" ht="15.75" customHeight="1">
      <c r="F16" s="59" t="s">
        <v>78</v>
      </c>
      <c r="L16" s="22"/>
    </row>
    <row r="17" ht="15.75" customHeight="1">
      <c r="L17" s="22"/>
    </row>
    <row r="18" ht="15.75" customHeight="1">
      <c r="L18" s="22"/>
    </row>
    <row r="19" ht="15.75" customHeight="1">
      <c r="B19" s="32" t="s">
        <v>79</v>
      </c>
      <c r="L19" s="22"/>
    </row>
    <row r="20" ht="15.75" customHeight="1">
      <c r="L20" s="22"/>
    </row>
    <row r="21" ht="32.25" customHeight="1">
      <c r="A21" s="60"/>
      <c r="B21" s="61" t="s">
        <v>56</v>
      </c>
      <c r="C21" s="34"/>
      <c r="D21" s="62"/>
      <c r="E21" s="36" t="s">
        <v>57</v>
      </c>
      <c r="F21" s="37" t="s">
        <v>58</v>
      </c>
      <c r="G21" s="37" t="s">
        <v>59</v>
      </c>
      <c r="H21" s="37" t="s">
        <v>60</v>
      </c>
      <c r="I21" s="37" t="s">
        <v>61</v>
      </c>
      <c r="J21" s="37" t="s">
        <v>62</v>
      </c>
      <c r="K21" s="37" t="s">
        <v>63</v>
      </c>
      <c r="L21" s="38" t="s">
        <v>64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ht="15.75" customHeight="1">
      <c r="A22" s="53"/>
      <c r="B22" s="51"/>
      <c r="C22" s="52" t="s">
        <v>80</v>
      </c>
      <c r="D22" s="49"/>
      <c r="E22" s="50"/>
      <c r="F22" s="50"/>
      <c r="G22" s="50"/>
      <c r="H22" s="50"/>
      <c r="I22" s="49"/>
      <c r="J22" s="50"/>
      <c r="K22" s="50"/>
      <c r="L22" s="45"/>
    </row>
    <row r="23" ht="15.75" customHeight="1">
      <c r="A23" s="53"/>
      <c r="B23" s="51"/>
      <c r="C23" s="52" t="s">
        <v>80</v>
      </c>
      <c r="D23" s="49"/>
      <c r="E23" s="50"/>
      <c r="F23" s="50"/>
      <c r="G23" s="50"/>
      <c r="H23" s="50"/>
      <c r="I23" s="49"/>
      <c r="J23" s="50"/>
      <c r="K23" s="50"/>
      <c r="L23" s="45"/>
    </row>
    <row r="24" ht="15.75" customHeight="1">
      <c r="A24" s="53"/>
      <c r="B24" s="51"/>
      <c r="C24" s="52" t="s">
        <v>80</v>
      </c>
      <c r="D24" s="49"/>
      <c r="E24" s="50"/>
      <c r="F24" s="50"/>
      <c r="G24" s="50"/>
      <c r="H24" s="50"/>
      <c r="I24" s="49"/>
      <c r="J24" s="50"/>
      <c r="K24" s="49"/>
      <c r="L24" s="45"/>
    </row>
    <row r="25" ht="15.75" customHeight="1">
      <c r="A25" s="53"/>
      <c r="B25" s="51"/>
      <c r="C25" s="52" t="s">
        <v>80</v>
      </c>
      <c r="D25" s="49"/>
      <c r="E25" s="50"/>
      <c r="F25" s="50"/>
      <c r="G25" s="50"/>
      <c r="H25" s="50"/>
      <c r="I25" s="49"/>
      <c r="J25" s="50"/>
      <c r="K25" s="50"/>
      <c r="L25" s="45"/>
    </row>
    <row r="26" ht="15.75" customHeight="1">
      <c r="A26" s="53"/>
      <c r="B26" s="51"/>
      <c r="C26" s="52" t="s">
        <v>80</v>
      </c>
      <c r="D26" s="49"/>
      <c r="E26" s="50"/>
      <c r="F26" s="50"/>
      <c r="G26" s="50"/>
      <c r="H26" s="50"/>
      <c r="I26" s="49"/>
      <c r="J26" s="50"/>
      <c r="K26" s="50"/>
      <c r="L26" s="45"/>
    </row>
    <row r="27" ht="15.75" customHeight="1">
      <c r="A27" s="53"/>
      <c r="B27" s="51"/>
      <c r="C27" s="52" t="s">
        <v>80</v>
      </c>
      <c r="D27" s="49"/>
      <c r="E27" s="50"/>
      <c r="F27" s="50"/>
      <c r="G27" s="50"/>
      <c r="H27" s="50"/>
      <c r="I27" s="49"/>
      <c r="J27" s="50"/>
      <c r="K27" s="50"/>
      <c r="L27" s="45"/>
    </row>
    <row r="28" ht="15.75" customHeight="1">
      <c r="A28" s="53"/>
      <c r="B28" s="51"/>
      <c r="C28" s="52" t="s">
        <v>80</v>
      </c>
      <c r="D28" s="49"/>
      <c r="E28" s="49"/>
      <c r="F28" s="49"/>
      <c r="G28" s="50"/>
      <c r="H28" s="49"/>
      <c r="I28" s="49"/>
      <c r="J28" s="49"/>
      <c r="K28" s="49"/>
      <c r="L28" s="45"/>
    </row>
    <row r="29" ht="15.75" customHeight="1">
      <c r="A29" s="53"/>
      <c r="B29" s="51"/>
      <c r="C29" s="52" t="s">
        <v>80</v>
      </c>
      <c r="D29" s="49"/>
      <c r="E29" s="49"/>
      <c r="F29" s="49"/>
      <c r="G29" s="50"/>
      <c r="H29" s="49"/>
      <c r="I29" s="49"/>
      <c r="J29" s="49"/>
      <c r="K29" s="49"/>
      <c r="L29" s="45"/>
    </row>
    <row r="30" ht="15.75" customHeight="1">
      <c r="A30" s="53"/>
      <c r="B30" s="51"/>
      <c r="C30" s="52" t="s">
        <v>80</v>
      </c>
      <c r="D30" s="49"/>
      <c r="E30" s="49"/>
      <c r="F30" s="49"/>
      <c r="G30" s="50"/>
      <c r="H30" s="49"/>
      <c r="I30" s="49"/>
      <c r="J30" s="49"/>
      <c r="K30" s="49"/>
      <c r="L30" s="45"/>
    </row>
    <row r="31" ht="15.75" customHeight="1">
      <c r="A31" s="53"/>
      <c r="B31" s="54" t="s">
        <v>77</v>
      </c>
      <c r="C31" s="55"/>
      <c r="D31" s="51"/>
      <c r="E31" s="56">
        <v>0.0</v>
      </c>
      <c r="F31" s="56">
        <v>0.0</v>
      </c>
      <c r="G31" s="51"/>
      <c r="H31" s="51"/>
      <c r="I31" s="51"/>
      <c r="J31" s="51"/>
      <c r="K31" s="51"/>
      <c r="L31" s="58"/>
    </row>
    <row r="32" ht="15.75" customHeight="1">
      <c r="D32" s="63"/>
      <c r="L32" s="22"/>
    </row>
    <row r="33" ht="15.75" customHeight="1">
      <c r="L33" s="22"/>
    </row>
    <row r="34" ht="15.75" customHeight="1">
      <c r="L34" s="22"/>
    </row>
    <row r="35" ht="15.75" customHeight="1">
      <c r="L35" s="22"/>
    </row>
    <row r="36" ht="15.75" customHeight="1">
      <c r="L36" s="22"/>
    </row>
    <row r="37" ht="15.75" customHeight="1">
      <c r="L37" s="22"/>
    </row>
    <row r="38" ht="15.75" customHeight="1">
      <c r="L38" s="22"/>
    </row>
    <row r="39" ht="15.75" customHeight="1">
      <c r="L39" s="22"/>
    </row>
    <row r="40" ht="15.75" customHeight="1">
      <c r="L40" s="22"/>
    </row>
    <row r="41" ht="15.75" customHeight="1">
      <c r="L41" s="22"/>
    </row>
    <row r="42" ht="15.75" customHeight="1">
      <c r="L42" s="22"/>
    </row>
    <row r="43" ht="15.75" customHeight="1">
      <c r="L43" s="22"/>
    </row>
    <row r="44" ht="15.75" customHeight="1">
      <c r="L44" s="22"/>
    </row>
    <row r="45" ht="15.75" customHeight="1">
      <c r="L45" s="22"/>
    </row>
    <row r="46" ht="15.75" customHeight="1">
      <c r="L46" s="22"/>
    </row>
    <row r="47" ht="15.75" customHeight="1">
      <c r="L47" s="22"/>
    </row>
    <row r="48" ht="15.75" customHeight="1">
      <c r="L48" s="22"/>
    </row>
    <row r="49" ht="15.75" customHeight="1">
      <c r="L49" s="22"/>
    </row>
    <row r="50" ht="15.75" customHeight="1">
      <c r="L50" s="22"/>
    </row>
    <row r="51" ht="15.75" customHeight="1">
      <c r="L51" s="22"/>
    </row>
    <row r="52" ht="15.75" customHeight="1">
      <c r="L52" s="22"/>
    </row>
    <row r="53" ht="15.75" customHeight="1">
      <c r="L53" s="22"/>
    </row>
    <row r="54" ht="15.75" customHeight="1">
      <c r="L54" s="22"/>
    </row>
    <row r="55" ht="15.75" customHeight="1">
      <c r="L55" s="22"/>
    </row>
    <row r="56" ht="15.75" customHeight="1">
      <c r="L56" s="22"/>
    </row>
    <row r="57" ht="15.75" customHeight="1">
      <c r="L57" s="22"/>
    </row>
    <row r="58" ht="15.75" customHeight="1">
      <c r="L58" s="22"/>
    </row>
    <row r="59" ht="15.75" customHeight="1">
      <c r="L59" s="22"/>
    </row>
    <row r="60" ht="15.75" customHeight="1">
      <c r="L60" s="22"/>
    </row>
    <row r="61" ht="15.75" customHeight="1">
      <c r="L61" s="22"/>
    </row>
    <row r="62" ht="15.75" customHeight="1">
      <c r="L62" s="22"/>
    </row>
    <row r="63" ht="15.75" customHeight="1">
      <c r="L63" s="22"/>
    </row>
    <row r="64" ht="15.75" customHeight="1">
      <c r="L64" s="22"/>
    </row>
    <row r="65" ht="15.75" customHeight="1">
      <c r="L65" s="22"/>
    </row>
    <row r="66" ht="15.75" customHeight="1">
      <c r="L66" s="22"/>
    </row>
    <row r="67" ht="15.75" customHeight="1">
      <c r="L67" s="22"/>
    </row>
    <row r="68" ht="15.75" customHeight="1">
      <c r="L68" s="22"/>
    </row>
    <row r="69" ht="15.75" customHeight="1">
      <c r="L69" s="22"/>
    </row>
    <row r="70" ht="15.75" customHeight="1">
      <c r="L70" s="22"/>
    </row>
    <row r="71" ht="15.75" customHeight="1">
      <c r="L71" s="22"/>
    </row>
    <row r="72" ht="15.75" customHeight="1">
      <c r="L72" s="22"/>
    </row>
    <row r="73" ht="15.75" customHeight="1">
      <c r="L73" s="22"/>
    </row>
    <row r="74" ht="15.75" customHeight="1">
      <c r="L74" s="22"/>
    </row>
    <row r="75" ht="15.75" customHeight="1">
      <c r="L75" s="22"/>
    </row>
    <row r="76" ht="15.75" customHeight="1">
      <c r="L76" s="22"/>
    </row>
    <row r="77" ht="15.75" customHeight="1">
      <c r="L77" s="22"/>
    </row>
    <row r="78" ht="15.75" customHeight="1">
      <c r="L78" s="22"/>
    </row>
    <row r="79" ht="15.75" customHeight="1">
      <c r="L79" s="22"/>
    </row>
    <row r="80" ht="15.75" customHeight="1">
      <c r="L80" s="22"/>
    </row>
    <row r="81" ht="15.75" customHeight="1">
      <c r="L81" s="22"/>
    </row>
    <row r="82" ht="15.75" customHeight="1">
      <c r="L82" s="22"/>
    </row>
    <row r="83" ht="15.75" customHeight="1">
      <c r="L83" s="22"/>
    </row>
    <row r="84" ht="15.75" customHeight="1">
      <c r="L84" s="22"/>
    </row>
    <row r="85" ht="15.75" customHeight="1">
      <c r="L85" s="22"/>
    </row>
    <row r="86" ht="15.75" customHeight="1">
      <c r="L86" s="22"/>
    </row>
    <row r="87" ht="15.75" customHeight="1">
      <c r="L87" s="22"/>
    </row>
    <row r="88" ht="15.75" customHeight="1">
      <c r="L88" s="22"/>
    </row>
    <row r="89" ht="15.75" customHeight="1">
      <c r="L89" s="22"/>
    </row>
    <row r="90" ht="15.75" customHeight="1">
      <c r="L90" s="22"/>
    </row>
    <row r="91" ht="15.75" customHeight="1">
      <c r="L91" s="22"/>
    </row>
    <row r="92" ht="15.75" customHeight="1">
      <c r="L92" s="22"/>
    </row>
    <row r="93" ht="15.75" customHeight="1">
      <c r="L93" s="22"/>
    </row>
    <row r="94" ht="15.75" customHeight="1">
      <c r="L94" s="22"/>
    </row>
    <row r="95" ht="15.75" customHeight="1">
      <c r="L95" s="22"/>
    </row>
    <row r="96" ht="15.75" customHeight="1">
      <c r="L96" s="22"/>
    </row>
    <row r="97" ht="15.75" customHeight="1">
      <c r="L97" s="22"/>
    </row>
    <row r="98" ht="15.75" customHeight="1">
      <c r="L98" s="22"/>
    </row>
    <row r="99" ht="15.75" customHeight="1">
      <c r="L99" s="22"/>
    </row>
    <row r="100" ht="15.75" customHeight="1">
      <c r="L100" s="22"/>
    </row>
    <row r="101" ht="15.75" customHeight="1">
      <c r="L101" s="22"/>
    </row>
    <row r="102" ht="15.75" customHeight="1">
      <c r="L102" s="22"/>
    </row>
    <row r="103" ht="15.75" customHeight="1">
      <c r="L103" s="22"/>
    </row>
    <row r="104" ht="15.75" customHeight="1">
      <c r="L104" s="22"/>
    </row>
    <row r="105" ht="15.75" customHeight="1">
      <c r="L105" s="22"/>
    </row>
    <row r="106" ht="15.75" customHeight="1">
      <c r="L106" s="22"/>
    </row>
    <row r="107" ht="15.75" customHeight="1">
      <c r="L107" s="22"/>
    </row>
    <row r="108" ht="15.75" customHeight="1">
      <c r="L108" s="22"/>
    </row>
    <row r="109" ht="15.75" customHeight="1">
      <c r="L109" s="22"/>
    </row>
    <row r="110" ht="15.75" customHeight="1">
      <c r="L110" s="22"/>
    </row>
    <row r="111" ht="15.75" customHeight="1">
      <c r="L111" s="22"/>
    </row>
    <row r="112" ht="15.75" customHeight="1">
      <c r="L112" s="22"/>
    </row>
    <row r="113" ht="15.75" customHeight="1">
      <c r="L113" s="22"/>
    </row>
    <row r="114" ht="15.75" customHeight="1">
      <c r="L114" s="22"/>
    </row>
    <row r="115" ht="15.75" customHeight="1">
      <c r="L115" s="22"/>
    </row>
    <row r="116" ht="15.75" customHeight="1">
      <c r="L116" s="22"/>
    </row>
    <row r="117" ht="15.75" customHeight="1">
      <c r="L117" s="22"/>
    </row>
    <row r="118" ht="15.75" customHeight="1">
      <c r="L118" s="22"/>
    </row>
    <row r="119" ht="15.75" customHeight="1">
      <c r="L119" s="22"/>
    </row>
    <row r="120" ht="15.75" customHeight="1">
      <c r="L120" s="22"/>
    </row>
    <row r="121" ht="15.75" customHeight="1">
      <c r="L121" s="22"/>
    </row>
    <row r="122" ht="15.75" customHeight="1">
      <c r="L122" s="22"/>
    </row>
    <row r="123" ht="15.75" customHeight="1">
      <c r="L123" s="22"/>
    </row>
    <row r="124" ht="15.75" customHeight="1">
      <c r="L124" s="22"/>
    </row>
    <row r="125" ht="15.75" customHeight="1">
      <c r="L125" s="22"/>
    </row>
    <row r="126" ht="15.75" customHeight="1">
      <c r="L126" s="22"/>
    </row>
    <row r="127" ht="15.75" customHeight="1">
      <c r="L127" s="22"/>
    </row>
    <row r="128" ht="15.75" customHeight="1">
      <c r="L128" s="22"/>
    </row>
    <row r="129" ht="15.75" customHeight="1">
      <c r="L129" s="22"/>
    </row>
    <row r="130" ht="15.75" customHeight="1">
      <c r="L130" s="22"/>
    </row>
    <row r="131" ht="15.75" customHeight="1">
      <c r="L131" s="22"/>
    </row>
    <row r="132" ht="15.75" customHeight="1">
      <c r="L132" s="22"/>
    </row>
    <row r="133" ht="15.75" customHeight="1">
      <c r="L133" s="22"/>
    </row>
    <row r="134" ht="15.75" customHeight="1">
      <c r="L134" s="22"/>
    </row>
    <row r="135" ht="15.75" customHeight="1">
      <c r="L135" s="22"/>
    </row>
    <row r="136" ht="15.75" customHeight="1">
      <c r="L136" s="22"/>
    </row>
    <row r="137" ht="15.75" customHeight="1">
      <c r="L137" s="22"/>
    </row>
    <row r="138" ht="15.75" customHeight="1">
      <c r="L138" s="22"/>
    </row>
    <row r="139" ht="15.75" customHeight="1">
      <c r="L139" s="22"/>
    </row>
    <row r="140" ht="15.75" customHeight="1">
      <c r="L140" s="22"/>
    </row>
    <row r="141" ht="15.75" customHeight="1">
      <c r="L141" s="22"/>
    </row>
    <row r="142" ht="15.75" customHeight="1">
      <c r="L142" s="22"/>
    </row>
    <row r="143" ht="15.75" customHeight="1">
      <c r="L143" s="22"/>
    </row>
    <row r="144" ht="15.75" customHeight="1">
      <c r="L144" s="22"/>
    </row>
    <row r="145" ht="15.75" customHeight="1">
      <c r="L145" s="22"/>
    </row>
    <row r="146" ht="15.75" customHeight="1">
      <c r="L146" s="22"/>
    </row>
    <row r="147" ht="15.75" customHeight="1">
      <c r="L147" s="22"/>
    </row>
    <row r="148" ht="15.75" customHeight="1">
      <c r="L148" s="22"/>
    </row>
    <row r="149" ht="15.75" customHeight="1">
      <c r="L149" s="22"/>
    </row>
    <row r="150" ht="15.75" customHeight="1">
      <c r="L150" s="22"/>
    </row>
    <row r="151" ht="15.75" customHeight="1">
      <c r="L151" s="22"/>
    </row>
    <row r="152" ht="15.75" customHeight="1">
      <c r="L152" s="22"/>
    </row>
    <row r="153" ht="15.75" customHeight="1">
      <c r="L153" s="22"/>
    </row>
    <row r="154" ht="15.75" customHeight="1">
      <c r="L154" s="22"/>
    </row>
    <row r="155" ht="15.75" customHeight="1">
      <c r="L155" s="22"/>
    </row>
    <row r="156" ht="15.75" customHeight="1">
      <c r="L156" s="22"/>
    </row>
    <row r="157" ht="15.75" customHeight="1">
      <c r="L157" s="22"/>
    </row>
    <row r="158" ht="15.75" customHeight="1">
      <c r="L158" s="22"/>
    </row>
    <row r="159" ht="15.75" customHeight="1">
      <c r="L159" s="22"/>
    </row>
    <row r="160" ht="15.75" customHeight="1">
      <c r="L160" s="22"/>
    </row>
    <row r="161" ht="15.75" customHeight="1">
      <c r="L161" s="22"/>
    </row>
    <row r="162" ht="15.75" customHeight="1">
      <c r="L162" s="22"/>
    </row>
    <row r="163" ht="15.75" customHeight="1">
      <c r="L163" s="22"/>
    </row>
    <row r="164" ht="15.75" customHeight="1">
      <c r="L164" s="22"/>
    </row>
    <row r="165" ht="15.75" customHeight="1">
      <c r="L165" s="22"/>
    </row>
    <row r="166" ht="15.75" customHeight="1">
      <c r="L166" s="22"/>
    </row>
    <row r="167" ht="15.75" customHeight="1">
      <c r="L167" s="22"/>
    </row>
    <row r="168" ht="15.75" customHeight="1">
      <c r="L168" s="22"/>
    </row>
    <row r="169" ht="15.75" customHeight="1">
      <c r="L169" s="22"/>
    </row>
    <row r="170" ht="15.75" customHeight="1">
      <c r="L170" s="22"/>
    </row>
    <row r="171" ht="15.75" customHeight="1">
      <c r="L171" s="22"/>
    </row>
    <row r="172" ht="15.75" customHeight="1">
      <c r="L172" s="22"/>
    </row>
    <row r="173" ht="15.75" customHeight="1">
      <c r="L173" s="22"/>
    </row>
    <row r="174" ht="15.75" customHeight="1">
      <c r="L174" s="22"/>
    </row>
    <row r="175" ht="15.75" customHeight="1">
      <c r="L175" s="22"/>
    </row>
    <row r="176" ht="15.75" customHeight="1">
      <c r="L176" s="22"/>
    </row>
    <row r="177" ht="15.75" customHeight="1">
      <c r="L177" s="22"/>
    </row>
    <row r="178" ht="15.75" customHeight="1">
      <c r="L178" s="22"/>
    </row>
    <row r="179" ht="15.75" customHeight="1">
      <c r="L179" s="22"/>
    </row>
    <row r="180" ht="15.75" customHeight="1">
      <c r="L180" s="22"/>
    </row>
    <row r="181" ht="15.75" customHeight="1">
      <c r="L181" s="22"/>
    </row>
    <row r="182" ht="15.75" customHeight="1">
      <c r="L182" s="22"/>
    </row>
    <row r="183" ht="15.75" customHeight="1">
      <c r="L183" s="22"/>
    </row>
    <row r="184" ht="15.75" customHeight="1">
      <c r="L184" s="22"/>
    </row>
    <row r="185" ht="15.75" customHeight="1">
      <c r="L185" s="22"/>
    </row>
    <row r="186" ht="15.75" customHeight="1">
      <c r="L186" s="22"/>
    </row>
    <row r="187" ht="15.75" customHeight="1">
      <c r="L187" s="22"/>
    </row>
    <row r="188" ht="15.75" customHeight="1">
      <c r="L188" s="22"/>
    </row>
    <row r="189" ht="15.75" customHeight="1">
      <c r="L189" s="22"/>
    </row>
    <row r="190" ht="15.75" customHeight="1">
      <c r="L190" s="22"/>
    </row>
    <row r="191" ht="15.75" customHeight="1">
      <c r="L191" s="22"/>
    </row>
    <row r="192" ht="15.75" customHeight="1">
      <c r="L192" s="22"/>
    </row>
    <row r="193" ht="15.75" customHeight="1">
      <c r="L193" s="22"/>
    </row>
    <row r="194" ht="15.75" customHeight="1">
      <c r="L194" s="22"/>
    </row>
    <row r="195" ht="15.75" customHeight="1">
      <c r="L195" s="22"/>
    </row>
    <row r="196" ht="15.75" customHeight="1">
      <c r="L196" s="22"/>
    </row>
    <row r="197" ht="15.75" customHeight="1">
      <c r="L197" s="22"/>
    </row>
    <row r="198" ht="15.75" customHeight="1">
      <c r="L198" s="22"/>
    </row>
    <row r="199" ht="15.75" customHeight="1">
      <c r="L199" s="22"/>
    </row>
    <row r="200" ht="15.75" customHeight="1">
      <c r="L200" s="22"/>
    </row>
    <row r="201" ht="15.75" customHeight="1">
      <c r="L201" s="22"/>
    </row>
    <row r="202" ht="15.75" customHeight="1">
      <c r="L202" s="22"/>
    </row>
    <row r="203" ht="15.75" customHeight="1">
      <c r="L203" s="22"/>
    </row>
    <row r="204" ht="15.75" customHeight="1">
      <c r="L204" s="22"/>
    </row>
    <row r="205" ht="15.75" customHeight="1">
      <c r="L205" s="22"/>
    </row>
    <row r="206" ht="15.75" customHeight="1">
      <c r="L206" s="22"/>
    </row>
    <row r="207" ht="15.75" customHeight="1">
      <c r="L207" s="22"/>
    </row>
    <row r="208" ht="15.75" customHeight="1">
      <c r="L208" s="22"/>
    </row>
    <row r="209" ht="15.75" customHeight="1">
      <c r="L209" s="22"/>
    </row>
    <row r="210" ht="15.75" customHeight="1">
      <c r="L210" s="22"/>
    </row>
    <row r="211" ht="15.75" customHeight="1">
      <c r="L211" s="22"/>
    </row>
    <row r="212" ht="15.75" customHeight="1">
      <c r="L212" s="22"/>
    </row>
    <row r="213" ht="15.75" customHeight="1">
      <c r="L213" s="22"/>
    </row>
    <row r="214" ht="15.75" customHeight="1">
      <c r="L214" s="22"/>
    </row>
    <row r="215" ht="15.75" customHeight="1">
      <c r="L215" s="22"/>
    </row>
    <row r="216" ht="15.75" customHeight="1">
      <c r="L216" s="22"/>
    </row>
    <row r="217" ht="15.75" customHeight="1">
      <c r="L217" s="22"/>
    </row>
    <row r="218" ht="15.75" customHeight="1">
      <c r="L218" s="22"/>
    </row>
    <row r="219" ht="15.75" customHeight="1">
      <c r="L219" s="22"/>
    </row>
    <row r="220" ht="15.75" customHeight="1">
      <c r="L220" s="22"/>
    </row>
    <row r="221" ht="15.75" customHeight="1">
      <c r="L221" s="22"/>
    </row>
    <row r="222" ht="15.75" customHeight="1">
      <c r="L222" s="22"/>
    </row>
    <row r="223" ht="15.75" customHeight="1">
      <c r="L223" s="22"/>
    </row>
    <row r="224" ht="15.75" customHeight="1">
      <c r="L224" s="22"/>
    </row>
    <row r="225" ht="15.75" customHeight="1">
      <c r="L225" s="22"/>
    </row>
    <row r="226" ht="15.75" customHeight="1">
      <c r="L226" s="22"/>
    </row>
    <row r="227" ht="15.75" customHeight="1">
      <c r="L227" s="22"/>
    </row>
    <row r="228" ht="15.75" customHeight="1">
      <c r="L228" s="22"/>
    </row>
    <row r="229" ht="15.75" customHeight="1">
      <c r="L229" s="22"/>
    </row>
    <row r="230" ht="15.75" customHeight="1">
      <c r="L230" s="22"/>
    </row>
    <row r="231" ht="15.75" customHeight="1">
      <c r="L231" s="22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4:C4"/>
    <mergeCell ref="B14:C14"/>
    <mergeCell ref="B21:C21"/>
    <mergeCell ref="B31:C3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8.0" topLeftCell="B9" activePane="bottomRight" state="frozen"/>
      <selection activeCell="B1" sqref="B1" pane="topRight"/>
      <selection activeCell="A9" sqref="A9" pane="bottomLeft"/>
      <selection activeCell="B9" sqref="B9" pane="bottomRight"/>
    </sheetView>
  </sheetViews>
  <sheetFormatPr customHeight="1" defaultColWidth="12.63" defaultRowHeight="15.0" outlineLevelRow="1"/>
  <cols>
    <col customWidth="1" min="1" max="1" width="24.5"/>
    <col customWidth="1" min="2" max="3" width="8.25"/>
    <col customWidth="1" min="4" max="6" width="7.75"/>
    <col customWidth="1" min="7" max="7" width="9.13"/>
    <col customWidth="1" min="8" max="8" width="0.5"/>
    <col customWidth="1" min="9" max="20" width="6.25"/>
    <col customWidth="1" min="21" max="21" width="8.5"/>
    <col customWidth="1" min="22" max="22" width="8.88"/>
    <col customWidth="1" min="23" max="25" width="7.75"/>
    <col customWidth="1" min="26" max="29" width="18.0"/>
  </cols>
  <sheetData>
    <row r="1" ht="23.25" customHeight="1">
      <c r="A1" s="64"/>
      <c r="B1" s="65" t="s">
        <v>81</v>
      </c>
      <c r="C1" s="65" t="s">
        <v>82</v>
      </c>
      <c r="D1" s="66" t="s">
        <v>83</v>
      </c>
      <c r="E1" s="67" t="s">
        <v>84</v>
      </c>
      <c r="F1" s="67" t="s">
        <v>85</v>
      </c>
      <c r="G1" s="68">
        <v>2023.0</v>
      </c>
      <c r="H1" s="69"/>
      <c r="I1" s="67" t="s">
        <v>86</v>
      </c>
      <c r="J1" s="67" t="s">
        <v>87</v>
      </c>
      <c r="K1" s="67" t="s">
        <v>88</v>
      </c>
      <c r="L1" s="67" t="s">
        <v>89</v>
      </c>
      <c r="M1" s="67" t="s">
        <v>90</v>
      </c>
      <c r="N1" s="67" t="s">
        <v>91</v>
      </c>
      <c r="O1" s="67" t="s">
        <v>92</v>
      </c>
      <c r="P1" s="67" t="s">
        <v>93</v>
      </c>
      <c r="Q1" s="67" t="s">
        <v>94</v>
      </c>
      <c r="R1" s="67" t="s">
        <v>95</v>
      </c>
      <c r="S1" s="67" t="s">
        <v>96</v>
      </c>
      <c r="T1" s="67" t="s">
        <v>97</v>
      </c>
      <c r="U1" s="70"/>
      <c r="V1" s="71"/>
      <c r="W1" s="70"/>
      <c r="X1" s="70"/>
      <c r="Y1" s="70"/>
      <c r="Z1" s="70"/>
      <c r="AA1" s="70"/>
      <c r="AB1" s="70"/>
      <c r="AC1" s="70"/>
    </row>
    <row r="2" ht="28.5" customHeight="1">
      <c r="A2" s="72" t="s">
        <v>98</v>
      </c>
      <c r="B2" s="73"/>
      <c r="C2" s="73"/>
      <c r="D2" s="70"/>
      <c r="E2" s="70"/>
      <c r="F2" s="74" t="s">
        <v>99</v>
      </c>
      <c r="G2" s="75">
        <v>0.0</v>
      </c>
      <c r="H2" s="70"/>
      <c r="I2" s="76">
        <v>7030.0</v>
      </c>
      <c r="J2" s="76">
        <v>6738.0</v>
      </c>
      <c r="K2" s="76">
        <v>7847.0</v>
      </c>
      <c r="L2" s="76">
        <v>8556.0</v>
      </c>
      <c r="M2" s="76">
        <v>11954.0</v>
      </c>
      <c r="N2" s="76">
        <v>12848.0</v>
      </c>
      <c r="O2" s="76">
        <v>14235.0</v>
      </c>
      <c r="P2" s="76">
        <v>12763.0</v>
      </c>
      <c r="Q2" s="76">
        <v>12290.0</v>
      </c>
      <c r="R2" s="76">
        <v>13480.0</v>
      </c>
      <c r="S2" s="76">
        <v>8767.0</v>
      </c>
      <c r="T2" s="76">
        <v>4578.0</v>
      </c>
      <c r="U2" s="77">
        <f>SUM(I2:T2)</f>
        <v>121086</v>
      </c>
      <c r="V2" s="78" t="s">
        <v>100</v>
      </c>
      <c r="W2" s="70"/>
      <c r="X2" s="70"/>
      <c r="Y2" s="70"/>
      <c r="Z2" s="70"/>
      <c r="AA2" s="70"/>
      <c r="AB2" s="70"/>
      <c r="AC2" s="70"/>
    </row>
    <row r="3" ht="14.25" customHeight="1">
      <c r="A3" s="72"/>
      <c r="B3" s="73"/>
      <c r="C3" s="73"/>
      <c r="D3" s="70"/>
      <c r="E3" s="70"/>
      <c r="F3" s="70"/>
      <c r="G3" s="70"/>
      <c r="H3" s="70"/>
      <c r="I3" s="79">
        <f t="shared" ref="I3:T3" si="1">I2/$U$2</f>
        <v>0.05805790925</v>
      </c>
      <c r="J3" s="79">
        <f t="shared" si="1"/>
        <v>0.05564640008</v>
      </c>
      <c r="K3" s="79">
        <f t="shared" si="1"/>
        <v>0.06480517979</v>
      </c>
      <c r="L3" s="79">
        <f t="shared" si="1"/>
        <v>0.07066052227</v>
      </c>
      <c r="M3" s="79">
        <f t="shared" si="1"/>
        <v>0.09872322151</v>
      </c>
      <c r="N3" s="79">
        <f t="shared" si="1"/>
        <v>0.1061064037</v>
      </c>
      <c r="O3" s="79">
        <f t="shared" si="1"/>
        <v>0.1175610723</v>
      </c>
      <c r="P3" s="79">
        <f t="shared" si="1"/>
        <v>0.1054044233</v>
      </c>
      <c r="Q3" s="79">
        <f t="shared" si="1"/>
        <v>0.1014981088</v>
      </c>
      <c r="R3" s="79">
        <f t="shared" si="1"/>
        <v>0.1113258345</v>
      </c>
      <c r="S3" s="79">
        <f t="shared" si="1"/>
        <v>0.07240308541</v>
      </c>
      <c r="T3" s="79">
        <f t="shared" si="1"/>
        <v>0.03780783906</v>
      </c>
      <c r="U3" s="80"/>
      <c r="V3" s="71"/>
      <c r="W3" s="70"/>
      <c r="X3" s="70"/>
      <c r="Y3" s="70"/>
      <c r="Z3" s="70"/>
      <c r="AA3" s="70"/>
      <c r="AB3" s="70"/>
      <c r="AC3" s="70"/>
    </row>
    <row r="4" ht="14.25" customHeight="1">
      <c r="A4" s="72" t="s">
        <v>101</v>
      </c>
      <c r="B4" s="73"/>
      <c r="C4" s="73"/>
      <c r="D4" s="70"/>
      <c r="E4" s="70"/>
      <c r="F4" s="70"/>
      <c r="G4" s="70"/>
      <c r="H4" s="70"/>
      <c r="I4" s="81">
        <v>0.061</v>
      </c>
      <c r="J4" s="82">
        <v>0.048</v>
      </c>
      <c r="K4" s="82">
        <v>0.056</v>
      </c>
      <c r="L4" s="82">
        <v>0.060845155361553</v>
      </c>
      <c r="M4" s="82">
        <v>0.08582218137958762</v>
      </c>
      <c r="N4" s="82">
        <v>0.11</v>
      </c>
      <c r="O4" s="82">
        <v>0.1207857101832175</v>
      </c>
      <c r="P4" s="82">
        <v>0.13337114467865144</v>
      </c>
      <c r="Q4" s="82">
        <v>0.11662885532134858</v>
      </c>
      <c r="R4" s="82">
        <v>0.09677789902934926</v>
      </c>
      <c r="S4" s="82">
        <v>0.06294153121589799</v>
      </c>
      <c r="T4" s="83">
        <f>1-(SUM(I4:S4))</f>
        <v>0.04782752283</v>
      </c>
      <c r="U4" s="84"/>
      <c r="V4" s="69" t="s">
        <v>102</v>
      </c>
      <c r="W4" s="69"/>
      <c r="X4" s="69"/>
      <c r="Y4" s="69"/>
      <c r="Z4" s="69"/>
      <c r="AA4" s="69"/>
      <c r="AB4" s="69"/>
      <c r="AC4" s="69"/>
    </row>
    <row r="5" ht="14.25" customHeight="1">
      <c r="A5" s="72" t="s">
        <v>103</v>
      </c>
      <c r="B5" s="85">
        <f>144797.61</f>
        <v>144797.61</v>
      </c>
      <c r="C5" s="85">
        <f>121085.96</f>
        <v>121085.96</v>
      </c>
      <c r="D5" s="86">
        <f t="shared" ref="D5:D7" si="3">C5/B5-1</f>
        <v>-0.1637571918</v>
      </c>
      <c r="E5" s="70" t="s">
        <v>104</v>
      </c>
      <c r="F5" s="87">
        <v>0.3</v>
      </c>
      <c r="G5" s="88">
        <f t="shared" ref="G5:G7" si="4">(G$2+1)*(F5+1)*C5</f>
        <v>157411.748</v>
      </c>
      <c r="H5" s="89"/>
      <c r="I5" s="88">
        <f t="shared" ref="I5:T5" si="2">$G5*I$4</f>
        <v>9602.116628</v>
      </c>
      <c r="J5" s="88">
        <f t="shared" si="2"/>
        <v>7555.763904</v>
      </c>
      <c r="K5" s="88">
        <f t="shared" si="2"/>
        <v>8815.057888</v>
      </c>
      <c r="L5" s="88">
        <f t="shared" si="2"/>
        <v>9577.742263</v>
      </c>
      <c r="M5" s="88">
        <f t="shared" si="2"/>
        <v>13509.41959</v>
      </c>
      <c r="N5" s="88">
        <f t="shared" si="2"/>
        <v>17315.29228</v>
      </c>
      <c r="O5" s="88">
        <f t="shared" si="2"/>
        <v>19013.08977</v>
      </c>
      <c r="P5" s="88">
        <f t="shared" si="2"/>
        <v>20994.18502</v>
      </c>
      <c r="Q5" s="88">
        <f t="shared" si="2"/>
        <v>18358.75198</v>
      </c>
      <c r="R5" s="88">
        <f t="shared" si="2"/>
        <v>15233.97825</v>
      </c>
      <c r="S5" s="88">
        <f t="shared" si="2"/>
        <v>9907.73645</v>
      </c>
      <c r="T5" s="88">
        <f t="shared" si="2"/>
        <v>7528.613971</v>
      </c>
      <c r="U5" s="71"/>
      <c r="V5" s="69" t="s">
        <v>105</v>
      </c>
      <c r="W5" s="69"/>
      <c r="X5" s="69"/>
      <c r="Y5" s="69"/>
      <c r="Z5" s="69"/>
      <c r="AA5" s="69"/>
      <c r="AB5" s="69"/>
      <c r="AC5" s="69"/>
    </row>
    <row r="6" ht="14.25" customHeight="1">
      <c r="A6" s="72" t="s">
        <v>106</v>
      </c>
      <c r="B6" s="85">
        <f>381.49</f>
        <v>381.49</v>
      </c>
      <c r="C6" s="85">
        <f>468.41</f>
        <v>468.41</v>
      </c>
      <c r="D6" s="86">
        <f t="shared" si="3"/>
        <v>0.2278434559</v>
      </c>
      <c r="E6" s="70" t="s">
        <v>104</v>
      </c>
      <c r="F6" s="87">
        <v>0.0</v>
      </c>
      <c r="G6" s="88">
        <f t="shared" si="4"/>
        <v>468.41</v>
      </c>
      <c r="H6" s="89"/>
      <c r="I6" s="88">
        <f t="shared" ref="I6:T6" si="5">$G6*I$4</f>
        <v>28.57301</v>
      </c>
      <c r="J6" s="88">
        <f t="shared" si="5"/>
        <v>22.48368</v>
      </c>
      <c r="K6" s="88">
        <f t="shared" si="5"/>
        <v>26.23096</v>
      </c>
      <c r="L6" s="88">
        <f t="shared" si="5"/>
        <v>28.50047922</v>
      </c>
      <c r="M6" s="88">
        <f t="shared" si="5"/>
        <v>40.19996798</v>
      </c>
      <c r="N6" s="88">
        <f t="shared" si="5"/>
        <v>51.5251</v>
      </c>
      <c r="O6" s="88">
        <f t="shared" si="5"/>
        <v>56.57723451</v>
      </c>
      <c r="P6" s="88">
        <f t="shared" si="5"/>
        <v>62.47237788</v>
      </c>
      <c r="Q6" s="88">
        <f t="shared" si="5"/>
        <v>54.63012212</v>
      </c>
      <c r="R6" s="88">
        <f t="shared" si="5"/>
        <v>45.33173568</v>
      </c>
      <c r="S6" s="88">
        <f t="shared" si="5"/>
        <v>29.48244264</v>
      </c>
      <c r="T6" s="88">
        <f t="shared" si="5"/>
        <v>22.40288997</v>
      </c>
      <c r="U6" s="71"/>
      <c r="V6" s="69" t="s">
        <v>107</v>
      </c>
      <c r="W6" s="69"/>
      <c r="X6" s="69"/>
      <c r="Y6" s="69"/>
      <c r="Z6" s="69"/>
      <c r="AA6" s="69"/>
      <c r="AB6" s="69"/>
      <c r="AC6" s="69"/>
    </row>
    <row r="7" ht="14.25" customHeight="1">
      <c r="A7" s="72" t="s">
        <v>108</v>
      </c>
      <c r="B7" s="85">
        <f>18878.93</f>
        <v>18878.93</v>
      </c>
      <c r="C7" s="85">
        <f>17733.17</f>
        <v>17733.17</v>
      </c>
      <c r="D7" s="86">
        <f t="shared" si="3"/>
        <v>-0.0606898802</v>
      </c>
      <c r="E7" s="70" t="s">
        <v>104</v>
      </c>
      <c r="F7" s="87">
        <v>0.0</v>
      </c>
      <c r="G7" s="88">
        <f t="shared" si="4"/>
        <v>17733.17</v>
      </c>
      <c r="H7" s="89"/>
      <c r="I7" s="88">
        <f t="shared" ref="I7:T7" si="6">$G7*I$4</f>
        <v>1081.72337</v>
      </c>
      <c r="J7" s="88">
        <f t="shared" si="6"/>
        <v>851.19216</v>
      </c>
      <c r="K7" s="88">
        <f t="shared" si="6"/>
        <v>993.05752</v>
      </c>
      <c r="L7" s="88">
        <f t="shared" si="6"/>
        <v>1078.977484</v>
      </c>
      <c r="M7" s="88">
        <f t="shared" si="6"/>
        <v>1521.899332</v>
      </c>
      <c r="N7" s="88">
        <f t="shared" si="6"/>
        <v>1950.6487</v>
      </c>
      <c r="O7" s="88">
        <f t="shared" si="6"/>
        <v>2141.913532</v>
      </c>
      <c r="P7" s="88">
        <f t="shared" si="6"/>
        <v>2365.093182</v>
      </c>
      <c r="Q7" s="88">
        <f t="shared" si="6"/>
        <v>2068.199318</v>
      </c>
      <c r="R7" s="88">
        <f t="shared" si="6"/>
        <v>1716.178936</v>
      </c>
      <c r="S7" s="88">
        <f t="shared" si="6"/>
        <v>1116.152873</v>
      </c>
      <c r="T7" s="88">
        <f t="shared" si="6"/>
        <v>848.133593</v>
      </c>
      <c r="U7" s="71"/>
      <c r="V7" s="90" t="s">
        <v>109</v>
      </c>
      <c r="AA7" s="90"/>
      <c r="AB7" s="90"/>
      <c r="AC7" s="90"/>
    </row>
    <row r="8" ht="14.25" customHeight="1">
      <c r="A8" s="72" t="s">
        <v>110</v>
      </c>
      <c r="B8" s="91">
        <f t="shared" ref="B8:C8" si="7">(((B4)+(B5))+(B6))+(B7)</f>
        <v>164058.03</v>
      </c>
      <c r="C8" s="91">
        <f t="shared" si="7"/>
        <v>139287.54</v>
      </c>
      <c r="D8" s="70"/>
      <c r="E8" s="70"/>
      <c r="F8" s="70"/>
      <c r="G8" s="91">
        <f>(((G4)+(G5))+(G6))+(G7)</f>
        <v>175613.328</v>
      </c>
      <c r="H8" s="89"/>
      <c r="I8" s="92">
        <f t="shared" ref="I8:T8" si="8">I5+I6+I7</f>
        <v>10712.41301</v>
      </c>
      <c r="J8" s="92">
        <f t="shared" si="8"/>
        <v>8429.439744</v>
      </c>
      <c r="K8" s="92">
        <f t="shared" si="8"/>
        <v>9834.346368</v>
      </c>
      <c r="L8" s="92">
        <f t="shared" si="8"/>
        <v>10685.22023</v>
      </c>
      <c r="M8" s="92">
        <f t="shared" si="8"/>
        <v>15071.51889</v>
      </c>
      <c r="N8" s="92">
        <f t="shared" si="8"/>
        <v>19317.46608</v>
      </c>
      <c r="O8" s="92">
        <f t="shared" si="8"/>
        <v>21211.58054</v>
      </c>
      <c r="P8" s="92">
        <f t="shared" si="8"/>
        <v>23421.75058</v>
      </c>
      <c r="Q8" s="92">
        <f t="shared" si="8"/>
        <v>20481.58142</v>
      </c>
      <c r="R8" s="92">
        <f t="shared" si="8"/>
        <v>16995.48893</v>
      </c>
      <c r="S8" s="92">
        <f t="shared" si="8"/>
        <v>11053.37177</v>
      </c>
      <c r="T8" s="92">
        <f t="shared" si="8"/>
        <v>8399.150454</v>
      </c>
      <c r="U8" s="80"/>
      <c r="AA8" s="90"/>
      <c r="AB8" s="90"/>
      <c r="AC8" s="90"/>
    </row>
    <row r="9" ht="14.25" customHeight="1">
      <c r="A9" s="72" t="s">
        <v>111</v>
      </c>
      <c r="B9" s="93"/>
      <c r="C9" s="93"/>
      <c r="D9" s="94"/>
      <c r="E9" s="70"/>
      <c r="F9" s="70"/>
      <c r="G9" s="69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0"/>
      <c r="X9" s="70"/>
      <c r="Y9" s="70"/>
      <c r="Z9" s="70"/>
      <c r="AA9" s="70"/>
      <c r="AB9" s="70"/>
      <c r="AC9" s="70"/>
    </row>
    <row r="10" ht="14.25" customHeight="1">
      <c r="A10" s="72" t="s">
        <v>112</v>
      </c>
      <c r="B10" s="85">
        <f>242.45</f>
        <v>242.45</v>
      </c>
      <c r="C10" s="93"/>
      <c r="D10" s="70"/>
      <c r="E10" s="70"/>
      <c r="F10" s="70"/>
      <c r="G10" s="69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0"/>
      <c r="X10" s="70"/>
      <c r="Y10" s="70"/>
      <c r="Z10" s="70"/>
      <c r="AA10" s="70"/>
      <c r="AB10" s="70"/>
      <c r="AC10" s="70"/>
    </row>
    <row r="11" ht="14.25" customHeight="1">
      <c r="A11" s="72" t="s">
        <v>113</v>
      </c>
      <c r="B11" s="85">
        <f>9362.83</f>
        <v>9362.83</v>
      </c>
      <c r="C11" s="85">
        <f>6498.36</f>
        <v>6498.36</v>
      </c>
      <c r="D11" s="95">
        <f>C11/C5</f>
        <v>0.05366732857</v>
      </c>
      <c r="E11" s="70" t="s">
        <v>114</v>
      </c>
      <c r="F11" s="96">
        <v>0.05</v>
      </c>
      <c r="G11" s="88">
        <f t="shared" ref="G11:G12" si="10">F11*G$5</f>
        <v>7870.5874</v>
      </c>
      <c r="H11" s="89"/>
      <c r="I11" s="88">
        <f t="shared" ref="I11:T11" si="9">$G11*I3</f>
        <v>456.949849</v>
      </c>
      <c r="J11" s="88">
        <f t="shared" si="9"/>
        <v>437.9698553</v>
      </c>
      <c r="K11" s="88">
        <f t="shared" si="9"/>
        <v>510.0548315</v>
      </c>
      <c r="L11" s="88">
        <f t="shared" si="9"/>
        <v>556.1398163</v>
      </c>
      <c r="M11" s="88">
        <f t="shared" si="9"/>
        <v>777.0097433</v>
      </c>
      <c r="N11" s="88">
        <f t="shared" si="9"/>
        <v>835.1197241</v>
      </c>
      <c r="O11" s="88">
        <f t="shared" si="9"/>
        <v>925.2746943</v>
      </c>
      <c r="P11" s="88">
        <f t="shared" si="9"/>
        <v>829.5947259</v>
      </c>
      <c r="Q11" s="88">
        <f t="shared" si="9"/>
        <v>798.8497361</v>
      </c>
      <c r="R11" s="88">
        <f t="shared" si="9"/>
        <v>876.1997106</v>
      </c>
      <c r="S11" s="88">
        <f t="shared" si="9"/>
        <v>569.8548118</v>
      </c>
      <c r="T11" s="88">
        <f t="shared" si="9"/>
        <v>297.5699017</v>
      </c>
      <c r="U11" s="80"/>
      <c r="V11" s="71"/>
      <c r="W11" s="70"/>
      <c r="X11" s="70"/>
      <c r="Y11" s="70"/>
      <c r="Z11" s="70"/>
      <c r="AA11" s="70"/>
      <c r="AB11" s="70"/>
      <c r="AC11" s="70"/>
    </row>
    <row r="12" ht="14.25" customHeight="1">
      <c r="A12" s="72" t="s">
        <v>115</v>
      </c>
      <c r="B12" s="93"/>
      <c r="C12" s="85">
        <f>336.96</f>
        <v>336.96</v>
      </c>
      <c r="D12" s="95">
        <f>C12/C5</f>
        <v>0.002782816439</v>
      </c>
      <c r="E12" s="70" t="s">
        <v>114</v>
      </c>
      <c r="F12" s="96">
        <v>0.02</v>
      </c>
      <c r="G12" s="88">
        <f t="shared" si="10"/>
        <v>3148.23496</v>
      </c>
      <c r="H12" s="89"/>
      <c r="I12" s="88">
        <f t="shared" ref="I12:T12" si="11">$G12*I3</f>
        <v>182.7799396</v>
      </c>
      <c r="J12" s="88">
        <f t="shared" si="11"/>
        <v>175.1879421</v>
      </c>
      <c r="K12" s="88">
        <f t="shared" si="11"/>
        <v>204.0219326</v>
      </c>
      <c r="L12" s="88">
        <f t="shared" si="11"/>
        <v>222.4559265</v>
      </c>
      <c r="M12" s="88">
        <f t="shared" si="11"/>
        <v>310.8038973</v>
      </c>
      <c r="N12" s="88">
        <f t="shared" si="11"/>
        <v>334.0478896</v>
      </c>
      <c r="O12" s="88">
        <f t="shared" si="11"/>
        <v>370.1098777</v>
      </c>
      <c r="P12" s="88">
        <f t="shared" si="11"/>
        <v>331.8378904</v>
      </c>
      <c r="Q12" s="88">
        <f t="shared" si="11"/>
        <v>319.5398944</v>
      </c>
      <c r="R12" s="88">
        <f t="shared" si="11"/>
        <v>350.4798842</v>
      </c>
      <c r="S12" s="88">
        <f t="shared" si="11"/>
        <v>227.9419247</v>
      </c>
      <c r="T12" s="88">
        <f t="shared" si="11"/>
        <v>119.0279607</v>
      </c>
      <c r="U12" s="71"/>
      <c r="V12" s="71"/>
      <c r="W12" s="70"/>
      <c r="X12" s="70"/>
      <c r="Y12" s="70"/>
      <c r="Z12" s="70"/>
      <c r="AA12" s="70"/>
      <c r="AB12" s="70"/>
      <c r="AC12" s="70"/>
    </row>
    <row r="13" ht="14.25" customHeight="1">
      <c r="A13" s="72" t="s">
        <v>116</v>
      </c>
      <c r="B13" s="91">
        <f t="shared" ref="B13:C13" si="12">sum(B10:B12)</f>
        <v>9605.28</v>
      </c>
      <c r="C13" s="91">
        <f t="shared" si="12"/>
        <v>6835.32</v>
      </c>
      <c r="D13" s="95">
        <f>C13/C5</f>
        <v>0.056450145</v>
      </c>
      <c r="E13" s="70" t="s">
        <v>114</v>
      </c>
      <c r="F13" s="94"/>
      <c r="G13" s="97">
        <f>sum(G10:G12)</f>
        <v>11018.82236</v>
      </c>
      <c r="H13" s="89"/>
      <c r="I13" s="88">
        <f t="shared" ref="I13:T13" si="13">sum(I11:I12)</f>
        <v>639.7297887</v>
      </c>
      <c r="J13" s="88">
        <f t="shared" si="13"/>
        <v>613.1577974</v>
      </c>
      <c r="K13" s="88">
        <f t="shared" si="13"/>
        <v>714.0767641</v>
      </c>
      <c r="L13" s="88">
        <f t="shared" si="13"/>
        <v>778.5957428</v>
      </c>
      <c r="M13" s="88">
        <f t="shared" si="13"/>
        <v>1087.813641</v>
      </c>
      <c r="N13" s="88">
        <f t="shared" si="13"/>
        <v>1169.167614</v>
      </c>
      <c r="O13" s="88">
        <f t="shared" si="13"/>
        <v>1295.384572</v>
      </c>
      <c r="P13" s="88">
        <f t="shared" si="13"/>
        <v>1161.432616</v>
      </c>
      <c r="Q13" s="88">
        <f t="shared" si="13"/>
        <v>1118.389631</v>
      </c>
      <c r="R13" s="88">
        <f t="shared" si="13"/>
        <v>1226.679595</v>
      </c>
      <c r="S13" s="88">
        <f t="shared" si="13"/>
        <v>797.7967365</v>
      </c>
      <c r="T13" s="88">
        <f t="shared" si="13"/>
        <v>416.5978624</v>
      </c>
      <c r="U13" s="71"/>
      <c r="V13" s="94"/>
      <c r="W13" s="70"/>
      <c r="X13" s="70"/>
      <c r="Y13" s="70"/>
      <c r="Z13" s="94"/>
      <c r="AA13" s="94"/>
      <c r="AB13" s="94"/>
      <c r="AC13" s="94"/>
    </row>
    <row r="14" ht="14.25" customHeight="1">
      <c r="A14" s="72" t="s">
        <v>117</v>
      </c>
      <c r="B14" s="85">
        <f>715</f>
        <v>715</v>
      </c>
      <c r="C14" s="93"/>
      <c r="D14" s="70"/>
      <c r="E14" s="70"/>
      <c r="F14" s="96">
        <v>0.0</v>
      </c>
      <c r="G14" s="88">
        <f>F14*G$6</f>
        <v>0</v>
      </c>
      <c r="H14" s="89"/>
      <c r="I14" s="88">
        <f t="shared" ref="I14:T14" si="14">$G14*I3</f>
        <v>0</v>
      </c>
      <c r="J14" s="88">
        <f t="shared" si="14"/>
        <v>0</v>
      </c>
      <c r="K14" s="88">
        <f t="shared" si="14"/>
        <v>0</v>
      </c>
      <c r="L14" s="88">
        <f t="shared" si="14"/>
        <v>0</v>
      </c>
      <c r="M14" s="88">
        <f t="shared" si="14"/>
        <v>0</v>
      </c>
      <c r="N14" s="88">
        <f t="shared" si="14"/>
        <v>0</v>
      </c>
      <c r="O14" s="88">
        <f t="shared" si="14"/>
        <v>0</v>
      </c>
      <c r="P14" s="88">
        <f t="shared" si="14"/>
        <v>0</v>
      </c>
      <c r="Q14" s="88">
        <f t="shared" si="14"/>
        <v>0</v>
      </c>
      <c r="R14" s="88">
        <f t="shared" si="14"/>
        <v>0</v>
      </c>
      <c r="S14" s="88">
        <f t="shared" si="14"/>
        <v>0</v>
      </c>
      <c r="T14" s="88">
        <f t="shared" si="14"/>
        <v>0</v>
      </c>
      <c r="U14" s="71"/>
      <c r="V14" s="94"/>
      <c r="W14" s="70"/>
      <c r="X14" s="70"/>
      <c r="Y14" s="70"/>
      <c r="Z14" s="94"/>
      <c r="AA14" s="94"/>
      <c r="AB14" s="94"/>
      <c r="AC14" s="94"/>
    </row>
    <row r="15" ht="14.25" customHeight="1">
      <c r="A15" s="72" t="s">
        <v>118</v>
      </c>
      <c r="B15" s="85">
        <f>13274.16</f>
        <v>13274.16</v>
      </c>
      <c r="C15" s="85">
        <f>11082.16</f>
        <v>11082.16</v>
      </c>
      <c r="D15" s="95">
        <f>C15/C7</f>
        <v>0.6249395906</v>
      </c>
      <c r="E15" s="70" t="s">
        <v>114</v>
      </c>
      <c r="F15" s="98">
        <v>0.6</v>
      </c>
      <c r="G15" s="88">
        <f>F15*G$7</f>
        <v>10639.902</v>
      </c>
      <c r="H15" s="89"/>
      <c r="I15" s="88">
        <f t="shared" ref="I15:T15" si="15">$G15*I3</f>
        <v>617.7304648</v>
      </c>
      <c r="J15" s="88">
        <f t="shared" si="15"/>
        <v>592.0722435</v>
      </c>
      <c r="K15" s="88">
        <f t="shared" si="15"/>
        <v>689.5207621</v>
      </c>
      <c r="L15" s="88">
        <f t="shared" si="15"/>
        <v>751.8210323</v>
      </c>
      <c r="M15" s="88">
        <f t="shared" si="15"/>
        <v>1050.405402</v>
      </c>
      <c r="N15" s="88">
        <f t="shared" si="15"/>
        <v>1128.961737</v>
      </c>
      <c r="O15" s="88">
        <f t="shared" si="15"/>
        <v>1250.838288</v>
      </c>
      <c r="P15" s="88">
        <f t="shared" si="15"/>
        <v>1121.492734</v>
      </c>
      <c r="Q15" s="88">
        <f t="shared" si="15"/>
        <v>1079.929931</v>
      </c>
      <c r="R15" s="88">
        <f t="shared" si="15"/>
        <v>1184.495969</v>
      </c>
      <c r="S15" s="88">
        <f t="shared" si="15"/>
        <v>770.3617333</v>
      </c>
      <c r="T15" s="88">
        <f t="shared" si="15"/>
        <v>402.2717024</v>
      </c>
      <c r="U15" s="71"/>
      <c r="V15" s="94"/>
      <c r="W15" s="70"/>
      <c r="X15" s="70"/>
      <c r="Y15" s="70"/>
      <c r="Z15" s="94"/>
      <c r="AA15" s="94"/>
      <c r="AB15" s="94"/>
      <c r="AC15" s="94"/>
    </row>
    <row r="16" ht="14.25" customHeight="1">
      <c r="A16" s="72" t="s">
        <v>119</v>
      </c>
      <c r="B16" s="91">
        <f t="shared" ref="B16:C16" si="16">sum(B13:B15)</f>
        <v>23594.44</v>
      </c>
      <c r="C16" s="91">
        <f t="shared" si="16"/>
        <v>17917.48</v>
      </c>
      <c r="D16" s="95"/>
      <c r="E16" s="70"/>
      <c r="F16" s="99"/>
      <c r="G16" s="91">
        <f>sum(G13:G15)</f>
        <v>21658.72436</v>
      </c>
      <c r="H16" s="89"/>
      <c r="I16" s="88">
        <f t="shared" ref="I16:T16" si="17">sum(I13:I15)</f>
        <v>1257.460253</v>
      </c>
      <c r="J16" s="88">
        <f t="shared" si="17"/>
        <v>1205.230041</v>
      </c>
      <c r="K16" s="88">
        <f t="shared" si="17"/>
        <v>1403.597526</v>
      </c>
      <c r="L16" s="88">
        <f t="shared" si="17"/>
        <v>1530.416775</v>
      </c>
      <c r="M16" s="88">
        <f t="shared" si="17"/>
        <v>2138.219043</v>
      </c>
      <c r="N16" s="88">
        <f t="shared" si="17"/>
        <v>2298.129351</v>
      </c>
      <c r="O16" s="88">
        <f t="shared" si="17"/>
        <v>2546.22286</v>
      </c>
      <c r="P16" s="88">
        <f t="shared" si="17"/>
        <v>2282.925351</v>
      </c>
      <c r="Q16" s="88">
        <f t="shared" si="17"/>
        <v>2198.319561</v>
      </c>
      <c r="R16" s="88">
        <f t="shared" si="17"/>
        <v>2411.175564</v>
      </c>
      <c r="S16" s="88">
        <f t="shared" si="17"/>
        <v>1568.15847</v>
      </c>
      <c r="T16" s="88">
        <f t="shared" si="17"/>
        <v>818.8695648</v>
      </c>
      <c r="U16" s="71"/>
      <c r="V16" s="69"/>
      <c r="W16" s="70"/>
      <c r="X16" s="70"/>
      <c r="Y16" s="70"/>
      <c r="Z16" s="94"/>
      <c r="AA16" s="94"/>
      <c r="AB16" s="94"/>
      <c r="AC16" s="94"/>
    </row>
    <row r="17" ht="14.25" customHeight="1">
      <c r="A17" s="72" t="s">
        <v>120</v>
      </c>
      <c r="B17" s="91">
        <f t="shared" ref="B17:C17" si="18">(B8)-(B16)</f>
        <v>140463.59</v>
      </c>
      <c r="C17" s="91">
        <f t="shared" si="18"/>
        <v>121370.06</v>
      </c>
      <c r="D17" s="95"/>
      <c r="E17" s="70"/>
      <c r="F17" s="94"/>
      <c r="G17" s="91">
        <f>(G8)-(G16)</f>
        <v>153954.6036</v>
      </c>
      <c r="H17" s="89"/>
      <c r="I17" s="97">
        <f t="shared" ref="I17:T17" si="19">(I8)-(I16)</f>
        <v>9454.952755</v>
      </c>
      <c r="J17" s="97">
        <f t="shared" si="19"/>
        <v>7224.209703</v>
      </c>
      <c r="K17" s="97">
        <f t="shared" si="19"/>
        <v>8430.748842</v>
      </c>
      <c r="L17" s="97">
        <f t="shared" si="19"/>
        <v>9154.803451</v>
      </c>
      <c r="M17" s="97">
        <f t="shared" si="19"/>
        <v>12933.29985</v>
      </c>
      <c r="N17" s="97">
        <f t="shared" si="19"/>
        <v>17019.33673</v>
      </c>
      <c r="O17" s="97">
        <f t="shared" si="19"/>
        <v>18665.35768</v>
      </c>
      <c r="P17" s="97">
        <f t="shared" si="19"/>
        <v>21138.82523</v>
      </c>
      <c r="Q17" s="97">
        <f t="shared" si="19"/>
        <v>18283.26186</v>
      </c>
      <c r="R17" s="97">
        <f t="shared" si="19"/>
        <v>14584.31336</v>
      </c>
      <c r="S17" s="97">
        <f t="shared" si="19"/>
        <v>9485.213297</v>
      </c>
      <c r="T17" s="97">
        <f t="shared" si="19"/>
        <v>7580.280889</v>
      </c>
      <c r="U17" s="71"/>
      <c r="V17" s="69"/>
      <c r="W17" s="70"/>
      <c r="X17" s="70"/>
      <c r="Y17" s="70"/>
      <c r="Z17" s="94"/>
      <c r="AA17" s="94"/>
      <c r="AB17" s="94"/>
      <c r="AC17" s="94"/>
    </row>
    <row r="18" ht="14.25" customHeight="1" outlineLevel="1">
      <c r="A18" s="72" t="s">
        <v>121</v>
      </c>
      <c r="B18" s="93"/>
      <c r="C18" s="93"/>
      <c r="D18" s="95"/>
      <c r="E18" s="70"/>
      <c r="F18" s="94"/>
      <c r="G18" s="94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0"/>
      <c r="X18" s="70"/>
      <c r="Y18" s="70"/>
      <c r="Z18" s="70"/>
      <c r="AA18" s="70"/>
      <c r="AB18" s="70"/>
      <c r="AC18" s="70"/>
    </row>
    <row r="19" ht="14.25" customHeight="1" outlineLevel="1">
      <c r="A19" s="72" t="s">
        <v>122</v>
      </c>
      <c r="B19" s="100"/>
      <c r="C19" s="100"/>
      <c r="D19" s="94"/>
      <c r="E19" s="70"/>
      <c r="F19" s="94"/>
      <c r="G19" s="94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0"/>
      <c r="X19" s="70"/>
      <c r="Y19" s="70"/>
      <c r="Z19" s="70"/>
      <c r="AA19" s="70"/>
      <c r="AB19" s="70"/>
      <c r="AC19" s="70"/>
    </row>
    <row r="20" ht="14.25" customHeight="1" outlineLevel="1">
      <c r="A20" s="72" t="s">
        <v>123</v>
      </c>
      <c r="B20" s="85">
        <f>49360.41</f>
        <v>49360.41</v>
      </c>
      <c r="C20" s="85">
        <f>51292.52</f>
        <v>51292.52</v>
      </c>
      <c r="D20" s="95">
        <f t="shared" ref="D20:D22" si="21">C20/C$8</f>
        <v>0.3682491628</v>
      </c>
      <c r="E20" s="70" t="s">
        <v>114</v>
      </c>
      <c r="F20" s="96">
        <v>0.35</v>
      </c>
      <c r="G20" s="88">
        <f t="shared" ref="G20:G22" si="22">F20*G$8</f>
        <v>61464.6648</v>
      </c>
      <c r="H20" s="89"/>
      <c r="I20" s="88">
        <f t="shared" ref="I20:T20" si="20">$G20*I3</f>
        <v>3568.509931</v>
      </c>
      <c r="J20" s="88">
        <f t="shared" si="20"/>
        <v>3420.287328</v>
      </c>
      <c r="K20" s="88">
        <f t="shared" si="20"/>
        <v>3983.228653</v>
      </c>
      <c r="L20" s="88">
        <f t="shared" si="20"/>
        <v>4343.125316</v>
      </c>
      <c r="M20" s="88">
        <f t="shared" si="20"/>
        <v>6067.989718</v>
      </c>
      <c r="N20" s="88">
        <f t="shared" si="20"/>
        <v>6521.794537</v>
      </c>
      <c r="O20" s="88">
        <f t="shared" si="20"/>
        <v>7225.851902</v>
      </c>
      <c r="P20" s="88">
        <f t="shared" si="20"/>
        <v>6478.647547</v>
      </c>
      <c r="Q20" s="88">
        <f t="shared" si="20"/>
        <v>6238.547234</v>
      </c>
      <c r="R20" s="88">
        <f t="shared" si="20"/>
        <v>6842.605103</v>
      </c>
      <c r="S20" s="88">
        <f t="shared" si="20"/>
        <v>4450.231375</v>
      </c>
      <c r="T20" s="88">
        <f t="shared" si="20"/>
        <v>2323.846154</v>
      </c>
      <c r="U20" s="71"/>
      <c r="V20" s="71"/>
      <c r="W20" s="70"/>
      <c r="X20" s="70"/>
      <c r="Y20" s="70"/>
      <c r="Z20" s="70"/>
      <c r="AA20" s="70"/>
      <c r="AB20" s="70"/>
      <c r="AC20" s="70"/>
    </row>
    <row r="21" ht="14.25" customHeight="1" outlineLevel="1">
      <c r="A21" s="101" t="s">
        <v>124</v>
      </c>
      <c r="B21" s="102">
        <f>615</f>
        <v>615</v>
      </c>
      <c r="C21" s="103"/>
      <c r="D21" s="95">
        <f t="shared" si="21"/>
        <v>0</v>
      </c>
      <c r="E21" s="70" t="s">
        <v>114</v>
      </c>
      <c r="F21" s="96">
        <v>0.0</v>
      </c>
      <c r="G21" s="88">
        <f t="shared" si="22"/>
        <v>0</v>
      </c>
      <c r="H21" s="89"/>
      <c r="I21" s="88">
        <f t="shared" ref="I21:T21" si="23">$G21*I3</f>
        <v>0</v>
      </c>
      <c r="J21" s="88">
        <f t="shared" si="23"/>
        <v>0</v>
      </c>
      <c r="K21" s="88">
        <f t="shared" si="23"/>
        <v>0</v>
      </c>
      <c r="L21" s="88">
        <f t="shared" si="23"/>
        <v>0</v>
      </c>
      <c r="M21" s="88">
        <f t="shared" si="23"/>
        <v>0</v>
      </c>
      <c r="N21" s="88">
        <f t="shared" si="23"/>
        <v>0</v>
      </c>
      <c r="O21" s="88">
        <f t="shared" si="23"/>
        <v>0</v>
      </c>
      <c r="P21" s="88">
        <f t="shared" si="23"/>
        <v>0</v>
      </c>
      <c r="Q21" s="88">
        <f t="shared" si="23"/>
        <v>0</v>
      </c>
      <c r="R21" s="88">
        <f t="shared" si="23"/>
        <v>0</v>
      </c>
      <c r="S21" s="88">
        <f t="shared" si="23"/>
        <v>0</v>
      </c>
      <c r="T21" s="88">
        <f t="shared" si="23"/>
        <v>0</v>
      </c>
      <c r="U21" s="71"/>
      <c r="V21" s="71"/>
      <c r="W21" s="70"/>
      <c r="X21" s="70"/>
      <c r="Y21" s="70"/>
      <c r="Z21" s="70"/>
      <c r="AA21" s="70"/>
      <c r="AB21" s="70"/>
      <c r="AC21" s="70"/>
    </row>
    <row r="22" ht="14.25" customHeight="1" outlineLevel="1">
      <c r="A22" s="72" t="s">
        <v>125</v>
      </c>
      <c r="B22" s="102">
        <f>6422</f>
        <v>6422</v>
      </c>
      <c r="C22" s="104">
        <f>6669</f>
        <v>6669</v>
      </c>
      <c r="D22" s="95">
        <f t="shared" si="21"/>
        <v>0.04787937241</v>
      </c>
      <c r="E22" s="70" t="s">
        <v>114</v>
      </c>
      <c r="F22" s="96">
        <v>0.05</v>
      </c>
      <c r="G22" s="88">
        <f t="shared" si="22"/>
        <v>8780.6664</v>
      </c>
      <c r="H22" s="89"/>
      <c r="I22" s="88">
        <f t="shared" ref="I22:T22" si="24">$G22*I3</f>
        <v>509.787133</v>
      </c>
      <c r="J22" s="88">
        <f t="shared" si="24"/>
        <v>488.6124755</v>
      </c>
      <c r="K22" s="88">
        <f t="shared" si="24"/>
        <v>569.0326647</v>
      </c>
      <c r="L22" s="88">
        <f t="shared" si="24"/>
        <v>620.4464737</v>
      </c>
      <c r="M22" s="88">
        <f t="shared" si="24"/>
        <v>866.855674</v>
      </c>
      <c r="N22" s="88">
        <f t="shared" si="24"/>
        <v>931.6849339</v>
      </c>
      <c r="O22" s="88">
        <f t="shared" si="24"/>
        <v>1032.264557</v>
      </c>
      <c r="P22" s="88">
        <f t="shared" si="24"/>
        <v>925.5210781</v>
      </c>
      <c r="Q22" s="88">
        <f t="shared" si="24"/>
        <v>891.2210334</v>
      </c>
      <c r="R22" s="88">
        <f t="shared" si="24"/>
        <v>977.5150147</v>
      </c>
      <c r="S22" s="88">
        <f t="shared" si="24"/>
        <v>635.7473393</v>
      </c>
      <c r="T22" s="88">
        <f t="shared" si="24"/>
        <v>331.9780221</v>
      </c>
      <c r="U22" s="71"/>
      <c r="V22" s="71"/>
      <c r="W22" s="70"/>
      <c r="X22" s="70"/>
      <c r="Y22" s="70"/>
      <c r="Z22" s="70"/>
      <c r="AA22" s="70"/>
      <c r="AB22" s="70"/>
      <c r="AC22" s="70"/>
    </row>
    <row r="23" ht="14.25" customHeight="1" outlineLevel="1">
      <c r="A23" s="72" t="s">
        <v>126</v>
      </c>
      <c r="B23" s="91">
        <f t="shared" ref="B23:C23" si="25">((B20)+(B21))+(B22)</f>
        <v>56397.41</v>
      </c>
      <c r="C23" s="91">
        <f t="shared" si="25"/>
        <v>57961.52</v>
      </c>
      <c r="D23" s="95"/>
      <c r="E23" s="94"/>
      <c r="F23" s="94"/>
      <c r="G23" s="91">
        <f>((G20)+(G21))+(G22)</f>
        <v>70245.3312</v>
      </c>
      <c r="H23" s="89"/>
      <c r="I23" s="88">
        <f t="shared" ref="I23:T23" si="26">SUM(I20:I22)</f>
        <v>4078.297064</v>
      </c>
      <c r="J23" s="88">
        <f t="shared" si="26"/>
        <v>3908.899804</v>
      </c>
      <c r="K23" s="88">
        <f t="shared" si="26"/>
        <v>4552.261318</v>
      </c>
      <c r="L23" s="88">
        <f t="shared" si="26"/>
        <v>4963.57179</v>
      </c>
      <c r="M23" s="88">
        <f t="shared" si="26"/>
        <v>6934.845392</v>
      </c>
      <c r="N23" s="88">
        <f t="shared" si="26"/>
        <v>7453.479471</v>
      </c>
      <c r="O23" s="88">
        <f t="shared" si="26"/>
        <v>8258.11646</v>
      </c>
      <c r="P23" s="88">
        <f t="shared" si="26"/>
        <v>7404.168625</v>
      </c>
      <c r="Q23" s="88">
        <f t="shared" si="26"/>
        <v>7129.768268</v>
      </c>
      <c r="R23" s="88">
        <f t="shared" si="26"/>
        <v>7820.120118</v>
      </c>
      <c r="S23" s="88">
        <f t="shared" si="26"/>
        <v>5085.978715</v>
      </c>
      <c r="T23" s="88">
        <f t="shared" si="26"/>
        <v>2655.824176</v>
      </c>
      <c r="U23" s="71"/>
      <c r="V23" s="71"/>
      <c r="W23" s="70"/>
      <c r="X23" s="70"/>
      <c r="Y23" s="70"/>
      <c r="Z23" s="70"/>
      <c r="AA23" s="70"/>
      <c r="AB23" s="70"/>
      <c r="AC23" s="70"/>
    </row>
    <row r="24" ht="14.25" customHeight="1" outlineLevel="1">
      <c r="A24" s="72" t="s">
        <v>127</v>
      </c>
      <c r="B24" s="93"/>
      <c r="C24" s="93"/>
      <c r="D24" s="70"/>
      <c r="E24" s="70"/>
      <c r="F24" s="70"/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0"/>
      <c r="X24" s="70"/>
      <c r="Y24" s="70"/>
      <c r="Z24" s="70"/>
      <c r="AA24" s="70"/>
      <c r="AB24" s="70"/>
      <c r="AC24" s="70"/>
    </row>
    <row r="25" ht="14.25" customHeight="1" outlineLevel="1">
      <c r="A25" s="72" t="s">
        <v>128</v>
      </c>
      <c r="B25" s="85">
        <f>8992.15</f>
        <v>8992.15</v>
      </c>
      <c r="C25" s="85">
        <f>7262.48</f>
        <v>7262.48</v>
      </c>
      <c r="D25" s="95">
        <f>C25/B25-1</f>
        <v>-0.1923533304</v>
      </c>
      <c r="E25" s="70" t="s">
        <v>129</v>
      </c>
      <c r="F25" s="105">
        <v>8000.0</v>
      </c>
      <c r="G25" s="88">
        <f t="shared" ref="G25:G26" si="28">F25</f>
        <v>8000</v>
      </c>
      <c r="H25" s="89"/>
      <c r="I25" s="88">
        <f t="shared" ref="I25:T25" si="27">$G25/12</f>
        <v>666.6666667</v>
      </c>
      <c r="J25" s="88">
        <f t="shared" si="27"/>
        <v>666.6666667</v>
      </c>
      <c r="K25" s="88">
        <f t="shared" si="27"/>
        <v>666.6666667</v>
      </c>
      <c r="L25" s="88">
        <f t="shared" si="27"/>
        <v>666.6666667</v>
      </c>
      <c r="M25" s="88">
        <f t="shared" si="27"/>
        <v>666.6666667</v>
      </c>
      <c r="N25" s="88">
        <f t="shared" si="27"/>
        <v>666.6666667</v>
      </c>
      <c r="O25" s="88">
        <f t="shared" si="27"/>
        <v>666.6666667</v>
      </c>
      <c r="P25" s="88">
        <f t="shared" si="27"/>
        <v>666.6666667</v>
      </c>
      <c r="Q25" s="88">
        <f t="shared" si="27"/>
        <v>666.6666667</v>
      </c>
      <c r="R25" s="88">
        <f t="shared" si="27"/>
        <v>666.6666667</v>
      </c>
      <c r="S25" s="88">
        <f t="shared" si="27"/>
        <v>666.6666667</v>
      </c>
      <c r="T25" s="88">
        <f t="shared" si="27"/>
        <v>666.6666667</v>
      </c>
      <c r="U25" s="71"/>
      <c r="V25" s="71"/>
      <c r="W25" s="70"/>
      <c r="X25" s="70"/>
      <c r="Y25" s="70"/>
      <c r="Z25" s="70"/>
      <c r="AA25" s="70"/>
      <c r="AB25" s="70"/>
      <c r="AC25" s="70"/>
    </row>
    <row r="26" ht="14.25" customHeight="1" outlineLevel="1">
      <c r="A26" s="72" t="s">
        <v>130</v>
      </c>
      <c r="B26" s="85">
        <f>2290</f>
        <v>2290</v>
      </c>
      <c r="C26" s="85">
        <f>3099.98</f>
        <v>3099.98</v>
      </c>
      <c r="D26" s="95">
        <f>(C26/B26)-1</f>
        <v>0.3537030568</v>
      </c>
      <c r="E26" s="70" t="s">
        <v>129</v>
      </c>
      <c r="F26" s="105">
        <v>2500.0</v>
      </c>
      <c r="G26" s="88">
        <f t="shared" si="28"/>
        <v>2500</v>
      </c>
      <c r="H26" s="89"/>
      <c r="I26" s="88">
        <f t="shared" ref="I26:T26" si="29">$G26/12</f>
        <v>208.3333333</v>
      </c>
      <c r="J26" s="88">
        <f t="shared" si="29"/>
        <v>208.3333333</v>
      </c>
      <c r="K26" s="88">
        <f t="shared" si="29"/>
        <v>208.3333333</v>
      </c>
      <c r="L26" s="88">
        <f t="shared" si="29"/>
        <v>208.3333333</v>
      </c>
      <c r="M26" s="88">
        <f t="shared" si="29"/>
        <v>208.3333333</v>
      </c>
      <c r="N26" s="88">
        <f t="shared" si="29"/>
        <v>208.3333333</v>
      </c>
      <c r="O26" s="88">
        <f t="shared" si="29"/>
        <v>208.3333333</v>
      </c>
      <c r="P26" s="88">
        <f t="shared" si="29"/>
        <v>208.3333333</v>
      </c>
      <c r="Q26" s="88">
        <f t="shared" si="29"/>
        <v>208.3333333</v>
      </c>
      <c r="R26" s="88">
        <f t="shared" si="29"/>
        <v>208.3333333</v>
      </c>
      <c r="S26" s="88">
        <f t="shared" si="29"/>
        <v>208.3333333</v>
      </c>
      <c r="T26" s="88">
        <f t="shared" si="29"/>
        <v>208.3333333</v>
      </c>
      <c r="U26" s="71"/>
      <c r="V26" s="71"/>
      <c r="W26" s="70"/>
      <c r="X26" s="70"/>
      <c r="Y26" s="70"/>
      <c r="Z26" s="70"/>
      <c r="AA26" s="70"/>
      <c r="AB26" s="70"/>
      <c r="AC26" s="70"/>
    </row>
    <row r="27" ht="14.25" customHeight="1" outlineLevel="1">
      <c r="A27" s="72" t="s">
        <v>131</v>
      </c>
      <c r="B27" s="91">
        <f t="shared" ref="B27:C27" si="30">((B24)+(B25))+(B26)</f>
        <v>11282.15</v>
      </c>
      <c r="C27" s="91">
        <f t="shared" si="30"/>
        <v>10362.46</v>
      </c>
      <c r="D27" s="70"/>
      <c r="E27" s="70"/>
      <c r="F27" s="70"/>
      <c r="G27" s="91">
        <f>((G24)+(G25))+(G26)</f>
        <v>10500</v>
      </c>
      <c r="H27" s="89"/>
      <c r="I27" s="97">
        <f t="shared" ref="I27:T27" si="31">((I24)+(I25))+(I26)</f>
        <v>875</v>
      </c>
      <c r="J27" s="97">
        <f t="shared" si="31"/>
        <v>875</v>
      </c>
      <c r="K27" s="97">
        <f t="shared" si="31"/>
        <v>875</v>
      </c>
      <c r="L27" s="97">
        <f t="shared" si="31"/>
        <v>875</v>
      </c>
      <c r="M27" s="97">
        <f t="shared" si="31"/>
        <v>875</v>
      </c>
      <c r="N27" s="97">
        <f t="shared" si="31"/>
        <v>875</v>
      </c>
      <c r="O27" s="97">
        <f t="shared" si="31"/>
        <v>875</v>
      </c>
      <c r="P27" s="97">
        <f t="shared" si="31"/>
        <v>875</v>
      </c>
      <c r="Q27" s="97">
        <f t="shared" si="31"/>
        <v>875</v>
      </c>
      <c r="R27" s="97">
        <f t="shared" si="31"/>
        <v>875</v>
      </c>
      <c r="S27" s="97">
        <f t="shared" si="31"/>
        <v>875</v>
      </c>
      <c r="T27" s="97">
        <f t="shared" si="31"/>
        <v>875</v>
      </c>
      <c r="U27" s="71"/>
      <c r="V27" s="71"/>
      <c r="W27" s="70"/>
      <c r="X27" s="70"/>
      <c r="Y27" s="70"/>
      <c r="Z27" s="70"/>
      <c r="AA27" s="70"/>
      <c r="AB27" s="70"/>
      <c r="AC27" s="70"/>
    </row>
    <row r="28" ht="14.25" customHeight="1" outlineLevel="1">
      <c r="A28" s="72" t="s">
        <v>132</v>
      </c>
      <c r="B28" s="85">
        <f>24.84</f>
        <v>24.84</v>
      </c>
      <c r="C28" s="85">
        <f>40</f>
        <v>40</v>
      </c>
      <c r="D28" s="70"/>
      <c r="E28" s="70" t="s">
        <v>133</v>
      </c>
      <c r="F28" s="105">
        <v>100.0</v>
      </c>
      <c r="G28" s="88">
        <f t="shared" ref="G28:G35" si="33">F28</f>
        <v>100</v>
      </c>
      <c r="H28" s="89"/>
      <c r="I28" s="88">
        <f t="shared" ref="I28:T28" si="32">$G28/12</f>
        <v>8.333333333</v>
      </c>
      <c r="J28" s="88">
        <f t="shared" si="32"/>
        <v>8.333333333</v>
      </c>
      <c r="K28" s="88">
        <f t="shared" si="32"/>
        <v>8.333333333</v>
      </c>
      <c r="L28" s="88">
        <f t="shared" si="32"/>
        <v>8.333333333</v>
      </c>
      <c r="M28" s="88">
        <f t="shared" si="32"/>
        <v>8.333333333</v>
      </c>
      <c r="N28" s="88">
        <f t="shared" si="32"/>
        <v>8.333333333</v>
      </c>
      <c r="O28" s="88">
        <f t="shared" si="32"/>
        <v>8.333333333</v>
      </c>
      <c r="P28" s="88">
        <f t="shared" si="32"/>
        <v>8.333333333</v>
      </c>
      <c r="Q28" s="88">
        <f t="shared" si="32"/>
        <v>8.333333333</v>
      </c>
      <c r="R28" s="88">
        <f t="shared" si="32"/>
        <v>8.333333333</v>
      </c>
      <c r="S28" s="88">
        <f t="shared" si="32"/>
        <v>8.333333333</v>
      </c>
      <c r="T28" s="88">
        <f t="shared" si="32"/>
        <v>8.333333333</v>
      </c>
      <c r="U28" s="71"/>
      <c r="V28" s="71"/>
      <c r="W28" s="70"/>
      <c r="X28" s="70"/>
      <c r="Y28" s="70"/>
      <c r="Z28" s="70"/>
      <c r="AA28" s="70"/>
      <c r="AB28" s="70"/>
      <c r="AC28" s="70"/>
    </row>
    <row r="29" ht="14.25" customHeight="1" outlineLevel="1">
      <c r="A29" s="72" t="s">
        <v>134</v>
      </c>
      <c r="B29" s="85">
        <f>152.75</f>
        <v>152.75</v>
      </c>
      <c r="C29" s="85">
        <f>63.35</f>
        <v>63.35</v>
      </c>
      <c r="D29" s="86">
        <f t="shared" ref="D29:D35" si="35">C29/B29-1</f>
        <v>-0.5852700491</v>
      </c>
      <c r="E29" s="70" t="s">
        <v>133</v>
      </c>
      <c r="F29" s="105">
        <v>50.0</v>
      </c>
      <c r="G29" s="88">
        <f t="shared" si="33"/>
        <v>50</v>
      </c>
      <c r="H29" s="89"/>
      <c r="I29" s="88">
        <f t="shared" ref="I29:T29" si="34">$G29/12</f>
        <v>4.166666667</v>
      </c>
      <c r="J29" s="88">
        <f t="shared" si="34"/>
        <v>4.166666667</v>
      </c>
      <c r="K29" s="88">
        <f t="shared" si="34"/>
        <v>4.166666667</v>
      </c>
      <c r="L29" s="88">
        <f t="shared" si="34"/>
        <v>4.166666667</v>
      </c>
      <c r="M29" s="88">
        <f t="shared" si="34"/>
        <v>4.166666667</v>
      </c>
      <c r="N29" s="88">
        <f t="shared" si="34"/>
        <v>4.166666667</v>
      </c>
      <c r="O29" s="88">
        <f t="shared" si="34"/>
        <v>4.166666667</v>
      </c>
      <c r="P29" s="88">
        <f t="shared" si="34"/>
        <v>4.166666667</v>
      </c>
      <c r="Q29" s="88">
        <f t="shared" si="34"/>
        <v>4.166666667</v>
      </c>
      <c r="R29" s="88">
        <f t="shared" si="34"/>
        <v>4.166666667</v>
      </c>
      <c r="S29" s="88">
        <f t="shared" si="34"/>
        <v>4.166666667</v>
      </c>
      <c r="T29" s="88">
        <f t="shared" si="34"/>
        <v>4.166666667</v>
      </c>
      <c r="U29" s="71"/>
      <c r="V29" s="71"/>
      <c r="W29" s="70"/>
      <c r="X29" s="70"/>
      <c r="Y29" s="70"/>
      <c r="Z29" s="70"/>
      <c r="AA29" s="70"/>
      <c r="AB29" s="70"/>
      <c r="AC29" s="70"/>
    </row>
    <row r="30" ht="14.25" customHeight="1" outlineLevel="1">
      <c r="A30" s="72" t="s">
        <v>135</v>
      </c>
      <c r="B30" s="85">
        <f>1425</f>
        <v>1425</v>
      </c>
      <c r="C30" s="85">
        <f>1074</f>
        <v>1074</v>
      </c>
      <c r="D30" s="86">
        <f t="shared" si="35"/>
        <v>-0.2463157895</v>
      </c>
      <c r="E30" s="70" t="s">
        <v>133</v>
      </c>
      <c r="F30" s="105">
        <v>1500.0</v>
      </c>
      <c r="G30" s="88">
        <f t="shared" si="33"/>
        <v>1500</v>
      </c>
      <c r="H30" s="89"/>
      <c r="I30" s="88">
        <f t="shared" ref="I30:T30" si="36">$G30/12</f>
        <v>125</v>
      </c>
      <c r="J30" s="88">
        <f t="shared" si="36"/>
        <v>125</v>
      </c>
      <c r="K30" s="88">
        <f t="shared" si="36"/>
        <v>125</v>
      </c>
      <c r="L30" s="88">
        <f t="shared" si="36"/>
        <v>125</v>
      </c>
      <c r="M30" s="88">
        <f t="shared" si="36"/>
        <v>125</v>
      </c>
      <c r="N30" s="88">
        <f t="shared" si="36"/>
        <v>125</v>
      </c>
      <c r="O30" s="88">
        <f t="shared" si="36"/>
        <v>125</v>
      </c>
      <c r="P30" s="88">
        <f t="shared" si="36"/>
        <v>125</v>
      </c>
      <c r="Q30" s="88">
        <f t="shared" si="36"/>
        <v>125</v>
      </c>
      <c r="R30" s="88">
        <f t="shared" si="36"/>
        <v>125</v>
      </c>
      <c r="S30" s="88">
        <f t="shared" si="36"/>
        <v>125</v>
      </c>
      <c r="T30" s="88">
        <f t="shared" si="36"/>
        <v>125</v>
      </c>
      <c r="U30" s="71"/>
      <c r="V30" s="71"/>
      <c r="W30" s="70"/>
      <c r="X30" s="70"/>
      <c r="Y30" s="70"/>
      <c r="Z30" s="70"/>
      <c r="AA30" s="70"/>
      <c r="AB30" s="70"/>
      <c r="AC30" s="70"/>
    </row>
    <row r="31" ht="14.25" customHeight="1" outlineLevel="1">
      <c r="A31" s="72" t="s">
        <v>136</v>
      </c>
      <c r="B31" s="85">
        <f>1525.27</f>
        <v>1525.27</v>
      </c>
      <c r="C31" s="85">
        <f>1425.79</f>
        <v>1425.79</v>
      </c>
      <c r="D31" s="86">
        <f t="shared" si="35"/>
        <v>-0.06522123952</v>
      </c>
      <c r="E31" s="70" t="s">
        <v>133</v>
      </c>
      <c r="F31" s="105">
        <v>1500.0</v>
      </c>
      <c r="G31" s="88">
        <f t="shared" si="33"/>
        <v>1500</v>
      </c>
      <c r="H31" s="89"/>
      <c r="I31" s="88">
        <f t="shared" ref="I31:T31" si="37">$G31/12</f>
        <v>125</v>
      </c>
      <c r="J31" s="88">
        <f t="shared" si="37"/>
        <v>125</v>
      </c>
      <c r="K31" s="88">
        <f t="shared" si="37"/>
        <v>125</v>
      </c>
      <c r="L31" s="88">
        <f t="shared" si="37"/>
        <v>125</v>
      </c>
      <c r="M31" s="88">
        <f t="shared" si="37"/>
        <v>125</v>
      </c>
      <c r="N31" s="88">
        <f t="shared" si="37"/>
        <v>125</v>
      </c>
      <c r="O31" s="88">
        <f t="shared" si="37"/>
        <v>125</v>
      </c>
      <c r="P31" s="88">
        <f t="shared" si="37"/>
        <v>125</v>
      </c>
      <c r="Q31" s="88">
        <f t="shared" si="37"/>
        <v>125</v>
      </c>
      <c r="R31" s="88">
        <f t="shared" si="37"/>
        <v>125</v>
      </c>
      <c r="S31" s="88">
        <f t="shared" si="37"/>
        <v>125</v>
      </c>
      <c r="T31" s="88">
        <f t="shared" si="37"/>
        <v>125</v>
      </c>
      <c r="U31" s="71"/>
      <c r="V31" s="71"/>
      <c r="W31" s="70"/>
      <c r="X31" s="70"/>
      <c r="Y31" s="70"/>
      <c r="Z31" s="70"/>
      <c r="AA31" s="70"/>
      <c r="AB31" s="70"/>
      <c r="AC31" s="70"/>
    </row>
    <row r="32" ht="14.25" customHeight="1" outlineLevel="1">
      <c r="A32" s="72" t="s">
        <v>137</v>
      </c>
      <c r="B32" s="85">
        <f>62.76</f>
        <v>62.76</v>
      </c>
      <c r="C32" s="93"/>
      <c r="D32" s="86">
        <f t="shared" si="35"/>
        <v>-1</v>
      </c>
      <c r="E32" s="70" t="s">
        <v>133</v>
      </c>
      <c r="F32" s="105">
        <v>0.0</v>
      </c>
      <c r="G32" s="88">
        <f t="shared" si="33"/>
        <v>0</v>
      </c>
      <c r="H32" s="89"/>
      <c r="I32" s="88">
        <f t="shared" ref="I32:T32" si="38">$G32/12</f>
        <v>0</v>
      </c>
      <c r="J32" s="88">
        <f t="shared" si="38"/>
        <v>0</v>
      </c>
      <c r="K32" s="88">
        <f t="shared" si="38"/>
        <v>0</v>
      </c>
      <c r="L32" s="88">
        <f t="shared" si="38"/>
        <v>0</v>
      </c>
      <c r="M32" s="88">
        <f t="shared" si="38"/>
        <v>0</v>
      </c>
      <c r="N32" s="88">
        <f t="shared" si="38"/>
        <v>0</v>
      </c>
      <c r="O32" s="88">
        <f t="shared" si="38"/>
        <v>0</v>
      </c>
      <c r="P32" s="88">
        <f t="shared" si="38"/>
        <v>0</v>
      </c>
      <c r="Q32" s="88">
        <f t="shared" si="38"/>
        <v>0</v>
      </c>
      <c r="R32" s="88">
        <f t="shared" si="38"/>
        <v>0</v>
      </c>
      <c r="S32" s="88">
        <f t="shared" si="38"/>
        <v>0</v>
      </c>
      <c r="T32" s="88">
        <f t="shared" si="38"/>
        <v>0</v>
      </c>
      <c r="U32" s="71"/>
      <c r="V32" s="71"/>
      <c r="W32" s="70"/>
      <c r="X32" s="70"/>
      <c r="Y32" s="70"/>
      <c r="Z32" s="70"/>
      <c r="AA32" s="70"/>
      <c r="AB32" s="70"/>
      <c r="AC32" s="70"/>
    </row>
    <row r="33" ht="14.25" customHeight="1" outlineLevel="1">
      <c r="A33" s="72" t="s">
        <v>138</v>
      </c>
      <c r="B33" s="85">
        <f>3554.67</f>
        <v>3554.67</v>
      </c>
      <c r="C33" s="85">
        <f>811.17</f>
        <v>811.17</v>
      </c>
      <c r="D33" s="86">
        <f t="shared" si="35"/>
        <v>-0.7718016018</v>
      </c>
      <c r="E33" s="70" t="s">
        <v>133</v>
      </c>
      <c r="F33" s="105">
        <v>100.0</v>
      </c>
      <c r="G33" s="88">
        <f t="shared" si="33"/>
        <v>100</v>
      </c>
      <c r="H33" s="89"/>
      <c r="I33" s="88">
        <f t="shared" ref="I33:T33" si="39">$G33/12</f>
        <v>8.333333333</v>
      </c>
      <c r="J33" s="88">
        <f t="shared" si="39"/>
        <v>8.333333333</v>
      </c>
      <c r="K33" s="88">
        <f t="shared" si="39"/>
        <v>8.333333333</v>
      </c>
      <c r="L33" s="88">
        <f t="shared" si="39"/>
        <v>8.333333333</v>
      </c>
      <c r="M33" s="88">
        <f t="shared" si="39"/>
        <v>8.333333333</v>
      </c>
      <c r="N33" s="88">
        <f t="shared" si="39"/>
        <v>8.333333333</v>
      </c>
      <c r="O33" s="88">
        <f t="shared" si="39"/>
        <v>8.333333333</v>
      </c>
      <c r="P33" s="88">
        <f t="shared" si="39"/>
        <v>8.333333333</v>
      </c>
      <c r="Q33" s="88">
        <f t="shared" si="39"/>
        <v>8.333333333</v>
      </c>
      <c r="R33" s="88">
        <f t="shared" si="39"/>
        <v>8.333333333</v>
      </c>
      <c r="S33" s="88">
        <f t="shared" si="39"/>
        <v>8.333333333</v>
      </c>
      <c r="T33" s="88">
        <f t="shared" si="39"/>
        <v>8.333333333</v>
      </c>
      <c r="U33" s="71"/>
      <c r="V33" s="71"/>
      <c r="W33" s="70"/>
      <c r="X33" s="70"/>
      <c r="Y33" s="70"/>
      <c r="Z33" s="70"/>
      <c r="AA33" s="70"/>
      <c r="AB33" s="70"/>
      <c r="AC33" s="70"/>
    </row>
    <row r="34" ht="14.25" customHeight="1" outlineLevel="1">
      <c r="A34" s="72" t="s">
        <v>139</v>
      </c>
      <c r="B34" s="85">
        <f>2121.92</f>
        <v>2121.92</v>
      </c>
      <c r="C34" s="93">
        <v>0.0</v>
      </c>
      <c r="D34" s="86">
        <f t="shared" si="35"/>
        <v>-1</v>
      </c>
      <c r="E34" s="70" t="s">
        <v>133</v>
      </c>
      <c r="F34" s="105">
        <v>500.0</v>
      </c>
      <c r="G34" s="88">
        <f t="shared" si="33"/>
        <v>500</v>
      </c>
      <c r="H34" s="89"/>
      <c r="I34" s="88">
        <f t="shared" ref="I34:T34" si="40">$G34/12</f>
        <v>41.66666667</v>
      </c>
      <c r="J34" s="88">
        <f t="shared" si="40"/>
        <v>41.66666667</v>
      </c>
      <c r="K34" s="88">
        <f t="shared" si="40"/>
        <v>41.66666667</v>
      </c>
      <c r="L34" s="88">
        <f t="shared" si="40"/>
        <v>41.66666667</v>
      </c>
      <c r="M34" s="88">
        <f t="shared" si="40"/>
        <v>41.66666667</v>
      </c>
      <c r="N34" s="88">
        <f t="shared" si="40"/>
        <v>41.66666667</v>
      </c>
      <c r="O34" s="88">
        <f t="shared" si="40"/>
        <v>41.66666667</v>
      </c>
      <c r="P34" s="88">
        <f t="shared" si="40"/>
        <v>41.66666667</v>
      </c>
      <c r="Q34" s="88">
        <f t="shared" si="40"/>
        <v>41.66666667</v>
      </c>
      <c r="R34" s="88">
        <f t="shared" si="40"/>
        <v>41.66666667</v>
      </c>
      <c r="S34" s="88">
        <f t="shared" si="40"/>
        <v>41.66666667</v>
      </c>
      <c r="T34" s="88">
        <f t="shared" si="40"/>
        <v>41.66666667</v>
      </c>
      <c r="U34" s="71"/>
      <c r="V34" s="71"/>
      <c r="W34" s="70"/>
      <c r="X34" s="70"/>
      <c r="Y34" s="70"/>
      <c r="Z34" s="70"/>
      <c r="AA34" s="70"/>
      <c r="AB34" s="70"/>
      <c r="AC34" s="70"/>
    </row>
    <row r="35" ht="14.25" customHeight="1" outlineLevel="1">
      <c r="A35" s="72" t="s">
        <v>140</v>
      </c>
      <c r="B35" s="85">
        <f>2009.55</f>
        <v>2009.55</v>
      </c>
      <c r="C35" s="85">
        <f>1936.8</f>
        <v>1936.8</v>
      </c>
      <c r="D35" s="86">
        <f t="shared" si="35"/>
        <v>-0.03620213481</v>
      </c>
      <c r="E35" s="70" t="s">
        <v>133</v>
      </c>
      <c r="F35" s="105">
        <v>2000.0</v>
      </c>
      <c r="G35" s="88">
        <f t="shared" si="33"/>
        <v>2000</v>
      </c>
      <c r="H35" s="89"/>
      <c r="I35" s="88">
        <f t="shared" ref="I35:T35" si="41">$G35/12</f>
        <v>166.6666667</v>
      </c>
      <c r="J35" s="88">
        <f t="shared" si="41"/>
        <v>166.6666667</v>
      </c>
      <c r="K35" s="88">
        <f t="shared" si="41"/>
        <v>166.6666667</v>
      </c>
      <c r="L35" s="88">
        <f t="shared" si="41"/>
        <v>166.6666667</v>
      </c>
      <c r="M35" s="88">
        <f t="shared" si="41"/>
        <v>166.6666667</v>
      </c>
      <c r="N35" s="88">
        <f t="shared" si="41"/>
        <v>166.6666667</v>
      </c>
      <c r="O35" s="88">
        <f t="shared" si="41"/>
        <v>166.6666667</v>
      </c>
      <c r="P35" s="88">
        <f t="shared" si="41"/>
        <v>166.6666667</v>
      </c>
      <c r="Q35" s="88">
        <f t="shared" si="41"/>
        <v>166.6666667</v>
      </c>
      <c r="R35" s="88">
        <f t="shared" si="41"/>
        <v>166.6666667</v>
      </c>
      <c r="S35" s="88">
        <f t="shared" si="41"/>
        <v>166.6666667</v>
      </c>
      <c r="T35" s="88">
        <f t="shared" si="41"/>
        <v>166.6666667</v>
      </c>
      <c r="U35" s="71"/>
      <c r="V35" s="71"/>
      <c r="W35" s="70"/>
      <c r="X35" s="70"/>
      <c r="Y35" s="70"/>
      <c r="Z35" s="70"/>
      <c r="AA35" s="70"/>
      <c r="AB35" s="70"/>
      <c r="AC35" s="70"/>
    </row>
    <row r="36" ht="14.25" customHeight="1" outlineLevel="1">
      <c r="A36" s="72" t="s">
        <v>141</v>
      </c>
      <c r="B36" s="91">
        <f t="shared" ref="B36:C36" si="42">(((B32)+(B33))+(B34))+(B35)</f>
        <v>7748.9</v>
      </c>
      <c r="C36" s="91">
        <f t="shared" si="42"/>
        <v>2747.97</v>
      </c>
      <c r="D36" s="69"/>
      <c r="E36" s="69"/>
      <c r="F36" s="69"/>
      <c r="G36" s="91">
        <f>(((G32)+(G33))+(G34))+(G35)</f>
        <v>2600</v>
      </c>
      <c r="H36" s="89"/>
      <c r="I36" s="106">
        <f t="shared" ref="I36:T36" si="43">sum(I32:I35)</f>
        <v>216.6666667</v>
      </c>
      <c r="J36" s="106">
        <f t="shared" si="43"/>
        <v>216.6666667</v>
      </c>
      <c r="K36" s="106">
        <f t="shared" si="43"/>
        <v>216.6666667</v>
      </c>
      <c r="L36" s="106">
        <f t="shared" si="43"/>
        <v>216.6666667</v>
      </c>
      <c r="M36" s="106">
        <f t="shared" si="43"/>
        <v>216.6666667</v>
      </c>
      <c r="N36" s="106">
        <f t="shared" si="43"/>
        <v>216.6666667</v>
      </c>
      <c r="O36" s="106">
        <f t="shared" si="43"/>
        <v>216.6666667</v>
      </c>
      <c r="P36" s="106">
        <f t="shared" si="43"/>
        <v>216.6666667</v>
      </c>
      <c r="Q36" s="106">
        <f t="shared" si="43"/>
        <v>216.6666667</v>
      </c>
      <c r="R36" s="106">
        <f t="shared" si="43"/>
        <v>216.6666667</v>
      </c>
      <c r="S36" s="106">
        <f t="shared" si="43"/>
        <v>216.6666667</v>
      </c>
      <c r="T36" s="106">
        <f t="shared" si="43"/>
        <v>216.6666667</v>
      </c>
      <c r="U36" s="71"/>
      <c r="V36" s="71"/>
      <c r="W36" s="70"/>
      <c r="X36" s="70"/>
      <c r="Y36" s="70"/>
      <c r="Z36" s="70"/>
      <c r="AA36" s="70"/>
      <c r="AB36" s="70"/>
      <c r="AC36" s="70"/>
    </row>
    <row r="37" ht="14.25" customHeight="1" outlineLevel="1">
      <c r="A37" s="72" t="s">
        <v>142</v>
      </c>
      <c r="B37" s="85">
        <f>560.88</f>
        <v>560.88</v>
      </c>
      <c r="C37" s="85">
        <f>361.02</f>
        <v>361.02</v>
      </c>
      <c r="D37" s="86">
        <f t="shared" ref="D37:D38" si="45">C37/B37-1</f>
        <v>-0.3563329054</v>
      </c>
      <c r="E37" s="70" t="s">
        <v>133</v>
      </c>
      <c r="F37" s="105">
        <v>500.0</v>
      </c>
      <c r="G37" s="88">
        <f t="shared" ref="G37:G38" si="46">F37</f>
        <v>500</v>
      </c>
      <c r="H37" s="89"/>
      <c r="I37" s="88">
        <f t="shared" ref="I37:T37" si="44">$G37/12</f>
        <v>41.66666667</v>
      </c>
      <c r="J37" s="88">
        <f t="shared" si="44"/>
        <v>41.66666667</v>
      </c>
      <c r="K37" s="88">
        <f t="shared" si="44"/>
        <v>41.66666667</v>
      </c>
      <c r="L37" s="88">
        <f t="shared" si="44"/>
        <v>41.66666667</v>
      </c>
      <c r="M37" s="88">
        <f t="shared" si="44"/>
        <v>41.66666667</v>
      </c>
      <c r="N37" s="88">
        <f t="shared" si="44"/>
        <v>41.66666667</v>
      </c>
      <c r="O37" s="88">
        <f t="shared" si="44"/>
        <v>41.66666667</v>
      </c>
      <c r="P37" s="88">
        <f t="shared" si="44"/>
        <v>41.66666667</v>
      </c>
      <c r="Q37" s="88">
        <f t="shared" si="44"/>
        <v>41.66666667</v>
      </c>
      <c r="R37" s="88">
        <f t="shared" si="44"/>
        <v>41.66666667</v>
      </c>
      <c r="S37" s="88">
        <f t="shared" si="44"/>
        <v>41.66666667</v>
      </c>
      <c r="T37" s="88">
        <f t="shared" si="44"/>
        <v>41.66666667</v>
      </c>
      <c r="U37" s="71"/>
      <c r="V37" s="71"/>
      <c r="W37" s="70"/>
      <c r="X37" s="70"/>
      <c r="Y37" s="70"/>
      <c r="Z37" s="70"/>
      <c r="AA37" s="70"/>
      <c r="AB37" s="70"/>
      <c r="AC37" s="70"/>
    </row>
    <row r="38" ht="14.25" customHeight="1" outlineLevel="1">
      <c r="A38" s="72" t="s">
        <v>143</v>
      </c>
      <c r="B38" s="85">
        <f>12500</f>
        <v>12500</v>
      </c>
      <c r="C38" s="85">
        <f>8176.93</f>
        <v>8176.93</v>
      </c>
      <c r="D38" s="86">
        <f t="shared" si="45"/>
        <v>-0.3458456</v>
      </c>
      <c r="E38" s="70" t="s">
        <v>133</v>
      </c>
      <c r="F38" s="105">
        <v>5000.0</v>
      </c>
      <c r="G38" s="88">
        <f t="shared" si="46"/>
        <v>5000</v>
      </c>
      <c r="H38" s="89"/>
      <c r="I38" s="88">
        <f t="shared" ref="I38:T38" si="47">$G38/12</f>
        <v>416.6666667</v>
      </c>
      <c r="J38" s="88">
        <f t="shared" si="47"/>
        <v>416.6666667</v>
      </c>
      <c r="K38" s="88">
        <f t="shared" si="47"/>
        <v>416.6666667</v>
      </c>
      <c r="L38" s="88">
        <f t="shared" si="47"/>
        <v>416.6666667</v>
      </c>
      <c r="M38" s="88">
        <f t="shared" si="47"/>
        <v>416.6666667</v>
      </c>
      <c r="N38" s="88">
        <f t="shared" si="47"/>
        <v>416.6666667</v>
      </c>
      <c r="O38" s="88">
        <f t="shared" si="47"/>
        <v>416.6666667</v>
      </c>
      <c r="P38" s="88">
        <f t="shared" si="47"/>
        <v>416.6666667</v>
      </c>
      <c r="Q38" s="88">
        <f t="shared" si="47"/>
        <v>416.6666667</v>
      </c>
      <c r="R38" s="88">
        <f t="shared" si="47"/>
        <v>416.6666667</v>
      </c>
      <c r="S38" s="88">
        <f t="shared" si="47"/>
        <v>416.6666667</v>
      </c>
      <c r="T38" s="88">
        <f t="shared" si="47"/>
        <v>416.6666667</v>
      </c>
      <c r="U38" s="71"/>
      <c r="V38" s="71"/>
      <c r="W38" s="70"/>
      <c r="X38" s="70"/>
      <c r="Y38" s="70"/>
      <c r="Z38" s="70"/>
      <c r="AA38" s="70"/>
      <c r="AB38" s="70"/>
      <c r="AC38" s="70"/>
    </row>
    <row r="39" ht="14.25" customHeight="1" outlineLevel="1">
      <c r="A39" s="72" t="s">
        <v>144</v>
      </c>
      <c r="B39" s="91">
        <f t="shared" ref="B39:C39" si="48">(((((((B28)+(B29)))+(B30))+(B31))+(B36))+(B37))+(B38)</f>
        <v>23937.64</v>
      </c>
      <c r="C39" s="91">
        <f t="shared" si="48"/>
        <v>13889.06</v>
      </c>
      <c r="D39" s="86"/>
      <c r="E39" s="70"/>
      <c r="F39" s="94"/>
      <c r="G39" s="91">
        <f>(((((((G28)+(G29)))+(G30))+(G31))+(G36))+(G37))+(G38)</f>
        <v>11250</v>
      </c>
      <c r="H39" s="89"/>
      <c r="I39" s="106">
        <f t="shared" ref="I39:T39" si="49">sum(I28:I31,I36,I37:I38)</f>
        <v>937.5</v>
      </c>
      <c r="J39" s="106">
        <f t="shared" si="49"/>
        <v>937.5</v>
      </c>
      <c r="K39" s="106">
        <f t="shared" si="49"/>
        <v>937.5</v>
      </c>
      <c r="L39" s="106">
        <f t="shared" si="49"/>
        <v>937.5</v>
      </c>
      <c r="M39" s="106">
        <f t="shared" si="49"/>
        <v>937.5</v>
      </c>
      <c r="N39" s="106">
        <f t="shared" si="49"/>
        <v>937.5</v>
      </c>
      <c r="O39" s="106">
        <f t="shared" si="49"/>
        <v>937.5</v>
      </c>
      <c r="P39" s="106">
        <f t="shared" si="49"/>
        <v>937.5</v>
      </c>
      <c r="Q39" s="106">
        <f t="shared" si="49"/>
        <v>937.5</v>
      </c>
      <c r="R39" s="106">
        <f t="shared" si="49"/>
        <v>937.5</v>
      </c>
      <c r="S39" s="106">
        <f t="shared" si="49"/>
        <v>937.5</v>
      </c>
      <c r="T39" s="106">
        <f t="shared" si="49"/>
        <v>937.5</v>
      </c>
      <c r="U39" s="71"/>
      <c r="V39" s="71"/>
      <c r="W39" s="70"/>
      <c r="X39" s="70"/>
      <c r="Y39" s="70"/>
      <c r="Z39" s="70"/>
      <c r="AA39" s="70"/>
      <c r="AB39" s="70"/>
      <c r="AC39" s="70"/>
    </row>
    <row r="40" ht="14.25" customHeight="1" outlineLevel="1">
      <c r="A40" s="72" t="s">
        <v>145</v>
      </c>
      <c r="B40" s="85"/>
      <c r="C40" s="93"/>
      <c r="D40" s="94"/>
      <c r="E40" s="70"/>
      <c r="F40" s="94"/>
      <c r="G40" s="70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0"/>
      <c r="X40" s="70"/>
      <c r="Y40" s="70"/>
      <c r="Z40" s="70"/>
      <c r="AA40" s="70"/>
      <c r="AB40" s="70"/>
      <c r="AC40" s="70"/>
    </row>
    <row r="41" ht="14.25" customHeight="1" outlineLevel="1">
      <c r="A41" s="72" t="s">
        <v>146</v>
      </c>
      <c r="B41" s="93"/>
      <c r="C41" s="85">
        <f>728.95</f>
        <v>728.95</v>
      </c>
      <c r="D41" s="95">
        <f t="shared" ref="D41:D50" si="51">C41/C$8</f>
        <v>0.005233418581</v>
      </c>
      <c r="E41" s="70" t="s">
        <v>114</v>
      </c>
      <c r="F41" s="81">
        <v>0.005</v>
      </c>
      <c r="G41" s="88">
        <f t="shared" ref="G41:G50" si="52">F41*G$8</f>
        <v>878.06664</v>
      </c>
      <c r="H41" s="89"/>
      <c r="I41" s="88">
        <f t="shared" ref="I41:T41" si="50">$G41*I$3</f>
        <v>50.9787133</v>
      </c>
      <c r="J41" s="88">
        <f t="shared" si="50"/>
        <v>48.86124755</v>
      </c>
      <c r="K41" s="88">
        <f t="shared" si="50"/>
        <v>56.90326647</v>
      </c>
      <c r="L41" s="88">
        <f t="shared" si="50"/>
        <v>62.04464737</v>
      </c>
      <c r="M41" s="88">
        <f t="shared" si="50"/>
        <v>86.6855674</v>
      </c>
      <c r="N41" s="88">
        <f t="shared" si="50"/>
        <v>93.16849339</v>
      </c>
      <c r="O41" s="88">
        <f t="shared" si="50"/>
        <v>103.2264557</v>
      </c>
      <c r="P41" s="88">
        <f t="shared" si="50"/>
        <v>92.55210781</v>
      </c>
      <c r="Q41" s="88">
        <f t="shared" si="50"/>
        <v>89.12210334</v>
      </c>
      <c r="R41" s="88">
        <f t="shared" si="50"/>
        <v>97.75150147</v>
      </c>
      <c r="S41" s="88">
        <f t="shared" si="50"/>
        <v>63.57473393</v>
      </c>
      <c r="T41" s="88">
        <f t="shared" si="50"/>
        <v>33.19780221</v>
      </c>
      <c r="U41" s="71"/>
      <c r="V41" s="71"/>
      <c r="W41" s="70"/>
      <c r="X41" s="70"/>
      <c r="Y41" s="70"/>
      <c r="Z41" s="70"/>
      <c r="AA41" s="70"/>
      <c r="AB41" s="70"/>
      <c r="AC41" s="70"/>
    </row>
    <row r="42" ht="14.25" customHeight="1" outlineLevel="1">
      <c r="A42" s="72" t="s">
        <v>147</v>
      </c>
      <c r="B42" s="85">
        <f>4722.32</f>
        <v>4722.32</v>
      </c>
      <c r="C42" s="85">
        <f>1221.25</f>
        <v>1221.25</v>
      </c>
      <c r="D42" s="95">
        <f t="shared" si="51"/>
        <v>0.008767833792</v>
      </c>
      <c r="E42" s="70" t="s">
        <v>114</v>
      </c>
      <c r="F42" s="81">
        <v>0.009</v>
      </c>
      <c r="G42" s="88">
        <f t="shared" si="52"/>
        <v>1580.519952</v>
      </c>
      <c r="H42" s="89"/>
      <c r="I42" s="88">
        <f t="shared" ref="I42:T42" si="53">$G42*I$3</f>
        <v>91.76168395</v>
      </c>
      <c r="J42" s="88">
        <f t="shared" si="53"/>
        <v>87.95024558</v>
      </c>
      <c r="K42" s="88">
        <f t="shared" si="53"/>
        <v>102.4258797</v>
      </c>
      <c r="L42" s="88">
        <f t="shared" si="53"/>
        <v>111.6803653</v>
      </c>
      <c r="M42" s="88">
        <f t="shared" si="53"/>
        <v>156.0340213</v>
      </c>
      <c r="N42" s="88">
        <f t="shared" si="53"/>
        <v>167.7032881</v>
      </c>
      <c r="O42" s="88">
        <f t="shared" si="53"/>
        <v>185.8076203</v>
      </c>
      <c r="P42" s="88">
        <f t="shared" si="53"/>
        <v>166.5937941</v>
      </c>
      <c r="Q42" s="88">
        <f t="shared" si="53"/>
        <v>160.419786</v>
      </c>
      <c r="R42" s="88">
        <f t="shared" si="53"/>
        <v>175.9527026</v>
      </c>
      <c r="S42" s="88">
        <f t="shared" si="53"/>
        <v>114.4345211</v>
      </c>
      <c r="T42" s="88">
        <f t="shared" si="53"/>
        <v>59.75604397</v>
      </c>
      <c r="U42" s="71"/>
      <c r="V42" s="71"/>
      <c r="W42" s="70"/>
      <c r="X42" s="70"/>
      <c r="Y42" s="70"/>
      <c r="Z42" s="70"/>
      <c r="AA42" s="70"/>
      <c r="AB42" s="70"/>
      <c r="AC42" s="70"/>
    </row>
    <row r="43" ht="14.25" customHeight="1" outlineLevel="1">
      <c r="A43" s="72" t="s">
        <v>148</v>
      </c>
      <c r="B43" s="85">
        <f>2621.27</f>
        <v>2621.27</v>
      </c>
      <c r="C43" s="85">
        <f>2598.79</f>
        <v>2598.79</v>
      </c>
      <c r="D43" s="95">
        <f t="shared" si="51"/>
        <v>0.01865773493</v>
      </c>
      <c r="E43" s="70" t="s">
        <v>114</v>
      </c>
      <c r="F43" s="87">
        <v>0.02</v>
      </c>
      <c r="G43" s="88">
        <f t="shared" si="52"/>
        <v>3512.26656</v>
      </c>
      <c r="H43" s="89"/>
      <c r="I43" s="88">
        <f t="shared" ref="I43:T43" si="54">$G43*I$3</f>
        <v>203.9148532</v>
      </c>
      <c r="J43" s="88">
        <f t="shared" si="54"/>
        <v>195.4449902</v>
      </c>
      <c r="K43" s="88">
        <f t="shared" si="54"/>
        <v>227.6130659</v>
      </c>
      <c r="L43" s="88">
        <f t="shared" si="54"/>
        <v>248.1785895</v>
      </c>
      <c r="M43" s="88">
        <f t="shared" si="54"/>
        <v>346.7422696</v>
      </c>
      <c r="N43" s="88">
        <f t="shared" si="54"/>
        <v>372.6739736</v>
      </c>
      <c r="O43" s="88">
        <f t="shared" si="54"/>
        <v>412.905823</v>
      </c>
      <c r="P43" s="88">
        <f t="shared" si="54"/>
        <v>370.2084312</v>
      </c>
      <c r="Q43" s="88">
        <f t="shared" si="54"/>
        <v>356.4884134</v>
      </c>
      <c r="R43" s="88">
        <f t="shared" si="54"/>
        <v>391.0060059</v>
      </c>
      <c r="S43" s="88">
        <f t="shared" si="54"/>
        <v>254.2989357</v>
      </c>
      <c r="T43" s="88">
        <f t="shared" si="54"/>
        <v>132.7912088</v>
      </c>
      <c r="U43" s="71"/>
      <c r="V43" s="71"/>
      <c r="W43" s="70"/>
      <c r="X43" s="70"/>
      <c r="Y43" s="70"/>
      <c r="Z43" s="70"/>
      <c r="AA43" s="70"/>
      <c r="AB43" s="70"/>
      <c r="AC43" s="70"/>
    </row>
    <row r="44" ht="14.25" customHeight="1" outlineLevel="1">
      <c r="A44" s="72" t="s">
        <v>149</v>
      </c>
      <c r="B44" s="85">
        <f>2051.68</f>
        <v>2051.68</v>
      </c>
      <c r="C44" s="85">
        <f>1963.84</f>
        <v>1963.84</v>
      </c>
      <c r="D44" s="95">
        <f t="shared" si="51"/>
        <v>0.01409917929</v>
      </c>
      <c r="E44" s="70" t="s">
        <v>114</v>
      </c>
      <c r="F44" s="87">
        <v>0.01</v>
      </c>
      <c r="G44" s="88">
        <f t="shared" si="52"/>
        <v>1756.13328</v>
      </c>
      <c r="H44" s="89"/>
      <c r="I44" s="88">
        <f t="shared" ref="I44:T44" si="55">$G44*I$3</f>
        <v>101.9574266</v>
      </c>
      <c r="J44" s="88">
        <f t="shared" si="55"/>
        <v>97.72249509</v>
      </c>
      <c r="K44" s="88">
        <f t="shared" si="55"/>
        <v>113.8065329</v>
      </c>
      <c r="L44" s="88">
        <f t="shared" si="55"/>
        <v>124.0892947</v>
      </c>
      <c r="M44" s="88">
        <f t="shared" si="55"/>
        <v>173.3711348</v>
      </c>
      <c r="N44" s="88">
        <f t="shared" si="55"/>
        <v>186.3369868</v>
      </c>
      <c r="O44" s="88">
        <f t="shared" si="55"/>
        <v>206.4529115</v>
      </c>
      <c r="P44" s="88">
        <f t="shared" si="55"/>
        <v>185.1042156</v>
      </c>
      <c r="Q44" s="88">
        <f t="shared" si="55"/>
        <v>178.2442067</v>
      </c>
      <c r="R44" s="88">
        <f t="shared" si="55"/>
        <v>195.5030029</v>
      </c>
      <c r="S44" s="88">
        <f t="shared" si="55"/>
        <v>127.1494679</v>
      </c>
      <c r="T44" s="88">
        <f t="shared" si="55"/>
        <v>66.39560441</v>
      </c>
      <c r="U44" s="71"/>
      <c r="V44" s="71"/>
      <c r="W44" s="70"/>
      <c r="X44" s="70"/>
      <c r="Y44" s="70"/>
      <c r="Z44" s="70"/>
      <c r="AA44" s="70"/>
      <c r="AB44" s="70"/>
      <c r="AC44" s="70"/>
    </row>
    <row r="45" ht="14.25" customHeight="1" outlineLevel="1">
      <c r="A45" s="72" t="s">
        <v>150</v>
      </c>
      <c r="B45" s="85">
        <f>3036.18</f>
        <v>3036.18</v>
      </c>
      <c r="C45" s="85">
        <f>2457.52</f>
        <v>2457.52</v>
      </c>
      <c r="D45" s="95">
        <f t="shared" si="51"/>
        <v>0.01764350207</v>
      </c>
      <c r="E45" s="70" t="s">
        <v>114</v>
      </c>
      <c r="F45" s="87">
        <v>0.02</v>
      </c>
      <c r="G45" s="88">
        <f t="shared" si="52"/>
        <v>3512.26656</v>
      </c>
      <c r="H45" s="89"/>
      <c r="I45" s="88">
        <f t="shared" ref="I45:T45" si="56">$G45*I$3</f>
        <v>203.9148532</v>
      </c>
      <c r="J45" s="88">
        <f t="shared" si="56"/>
        <v>195.4449902</v>
      </c>
      <c r="K45" s="88">
        <f t="shared" si="56"/>
        <v>227.6130659</v>
      </c>
      <c r="L45" s="88">
        <f t="shared" si="56"/>
        <v>248.1785895</v>
      </c>
      <c r="M45" s="88">
        <f t="shared" si="56"/>
        <v>346.7422696</v>
      </c>
      <c r="N45" s="88">
        <f t="shared" si="56"/>
        <v>372.6739736</v>
      </c>
      <c r="O45" s="88">
        <f t="shared" si="56"/>
        <v>412.905823</v>
      </c>
      <c r="P45" s="88">
        <f t="shared" si="56"/>
        <v>370.2084312</v>
      </c>
      <c r="Q45" s="88">
        <f t="shared" si="56"/>
        <v>356.4884134</v>
      </c>
      <c r="R45" s="88">
        <f t="shared" si="56"/>
        <v>391.0060059</v>
      </c>
      <c r="S45" s="88">
        <f t="shared" si="56"/>
        <v>254.2989357</v>
      </c>
      <c r="T45" s="88">
        <f t="shared" si="56"/>
        <v>132.7912088</v>
      </c>
      <c r="U45" s="71"/>
      <c r="V45" s="71"/>
      <c r="W45" s="70"/>
      <c r="X45" s="70"/>
      <c r="Y45" s="70"/>
      <c r="Z45" s="70"/>
      <c r="AA45" s="70"/>
      <c r="AB45" s="70"/>
      <c r="AC45" s="70"/>
    </row>
    <row r="46" ht="14.25" customHeight="1" outlineLevel="1">
      <c r="A46" s="72" t="s">
        <v>151</v>
      </c>
      <c r="B46" s="85">
        <f>5761.02</f>
        <v>5761.02</v>
      </c>
      <c r="C46" s="85">
        <f>3972.92</f>
        <v>3972.92</v>
      </c>
      <c r="D46" s="95">
        <f t="shared" si="51"/>
        <v>0.02852315433</v>
      </c>
      <c r="E46" s="70" t="s">
        <v>114</v>
      </c>
      <c r="F46" s="87">
        <v>0.03</v>
      </c>
      <c r="G46" s="88">
        <f t="shared" si="52"/>
        <v>5268.39984</v>
      </c>
      <c r="H46" s="89"/>
      <c r="I46" s="88">
        <f t="shared" ref="I46:T46" si="57">$G46*I$3</f>
        <v>305.8722798</v>
      </c>
      <c r="J46" s="88">
        <f t="shared" si="57"/>
        <v>293.1674853</v>
      </c>
      <c r="K46" s="88">
        <f t="shared" si="57"/>
        <v>341.4195988</v>
      </c>
      <c r="L46" s="88">
        <f t="shared" si="57"/>
        <v>372.2678842</v>
      </c>
      <c r="M46" s="88">
        <f t="shared" si="57"/>
        <v>520.1134044</v>
      </c>
      <c r="N46" s="88">
        <f t="shared" si="57"/>
        <v>559.0109603</v>
      </c>
      <c r="O46" s="88">
        <f t="shared" si="57"/>
        <v>619.3587345</v>
      </c>
      <c r="P46" s="88">
        <f t="shared" si="57"/>
        <v>555.3126469</v>
      </c>
      <c r="Q46" s="88">
        <f t="shared" si="57"/>
        <v>534.7326201</v>
      </c>
      <c r="R46" s="88">
        <f t="shared" si="57"/>
        <v>586.5090088</v>
      </c>
      <c r="S46" s="88">
        <f t="shared" si="57"/>
        <v>381.4484036</v>
      </c>
      <c r="T46" s="88">
        <f t="shared" si="57"/>
        <v>199.1868132</v>
      </c>
      <c r="U46" s="71"/>
      <c r="V46" s="71"/>
      <c r="W46" s="70"/>
      <c r="X46" s="70"/>
      <c r="Y46" s="70"/>
      <c r="Z46" s="70"/>
      <c r="AA46" s="70"/>
      <c r="AB46" s="70"/>
      <c r="AC46" s="70"/>
    </row>
    <row r="47" ht="14.25" customHeight="1" outlineLevel="1">
      <c r="A47" s="72" t="s">
        <v>152</v>
      </c>
      <c r="B47" s="85">
        <f>2347.53</f>
        <v>2347.53</v>
      </c>
      <c r="C47" s="85">
        <f>2013.99</f>
        <v>2013.99</v>
      </c>
      <c r="D47" s="95">
        <f t="shared" si="51"/>
        <v>0.01445922586</v>
      </c>
      <c r="E47" s="70" t="s">
        <v>114</v>
      </c>
      <c r="F47" s="87">
        <v>0.02</v>
      </c>
      <c r="G47" s="88">
        <f t="shared" si="52"/>
        <v>3512.26656</v>
      </c>
      <c r="H47" s="89"/>
      <c r="I47" s="88">
        <f t="shared" ref="I47:T47" si="58">$G47*I$3</f>
        <v>203.9148532</v>
      </c>
      <c r="J47" s="88">
        <f t="shared" si="58"/>
        <v>195.4449902</v>
      </c>
      <c r="K47" s="88">
        <f t="shared" si="58"/>
        <v>227.6130659</v>
      </c>
      <c r="L47" s="88">
        <f t="shared" si="58"/>
        <v>248.1785895</v>
      </c>
      <c r="M47" s="88">
        <f t="shared" si="58"/>
        <v>346.7422696</v>
      </c>
      <c r="N47" s="88">
        <f t="shared" si="58"/>
        <v>372.6739736</v>
      </c>
      <c r="O47" s="88">
        <f t="shared" si="58"/>
        <v>412.905823</v>
      </c>
      <c r="P47" s="88">
        <f t="shared" si="58"/>
        <v>370.2084312</v>
      </c>
      <c r="Q47" s="88">
        <f t="shared" si="58"/>
        <v>356.4884134</v>
      </c>
      <c r="R47" s="88">
        <f t="shared" si="58"/>
        <v>391.0060059</v>
      </c>
      <c r="S47" s="88">
        <f t="shared" si="58"/>
        <v>254.2989357</v>
      </c>
      <c r="T47" s="88">
        <f t="shared" si="58"/>
        <v>132.7912088</v>
      </c>
      <c r="U47" s="71"/>
      <c r="V47" s="71"/>
      <c r="W47" s="70"/>
      <c r="X47" s="70"/>
      <c r="Y47" s="70"/>
      <c r="Z47" s="70"/>
      <c r="AA47" s="70"/>
      <c r="AB47" s="70"/>
      <c r="AC47" s="70"/>
    </row>
    <row r="48" ht="14.25" customHeight="1" outlineLevel="1">
      <c r="A48" s="72" t="s">
        <v>153</v>
      </c>
      <c r="B48" s="85">
        <f>538.96</f>
        <v>538.96</v>
      </c>
      <c r="C48" s="85">
        <f>1028.6</f>
        <v>1028.6</v>
      </c>
      <c r="D48" s="95">
        <f t="shared" si="51"/>
        <v>0.007384723716</v>
      </c>
      <c r="E48" s="70" t="s">
        <v>114</v>
      </c>
      <c r="F48" s="87">
        <v>0.01</v>
      </c>
      <c r="G48" s="88">
        <f t="shared" si="52"/>
        <v>1756.13328</v>
      </c>
      <c r="H48" s="89"/>
      <c r="I48" s="88">
        <f t="shared" ref="I48:T48" si="59">$G48*I$3</f>
        <v>101.9574266</v>
      </c>
      <c r="J48" s="88">
        <f t="shared" si="59"/>
        <v>97.72249509</v>
      </c>
      <c r="K48" s="88">
        <f t="shared" si="59"/>
        <v>113.8065329</v>
      </c>
      <c r="L48" s="88">
        <f t="shared" si="59"/>
        <v>124.0892947</v>
      </c>
      <c r="M48" s="88">
        <f t="shared" si="59"/>
        <v>173.3711348</v>
      </c>
      <c r="N48" s="88">
        <f t="shared" si="59"/>
        <v>186.3369868</v>
      </c>
      <c r="O48" s="88">
        <f t="shared" si="59"/>
        <v>206.4529115</v>
      </c>
      <c r="P48" s="88">
        <f t="shared" si="59"/>
        <v>185.1042156</v>
      </c>
      <c r="Q48" s="88">
        <f t="shared" si="59"/>
        <v>178.2442067</v>
      </c>
      <c r="R48" s="88">
        <f t="shared" si="59"/>
        <v>195.5030029</v>
      </c>
      <c r="S48" s="88">
        <f t="shared" si="59"/>
        <v>127.1494679</v>
      </c>
      <c r="T48" s="88">
        <f t="shared" si="59"/>
        <v>66.39560441</v>
      </c>
      <c r="U48" s="71"/>
      <c r="V48" s="71"/>
      <c r="W48" s="70"/>
      <c r="X48" s="70"/>
      <c r="Y48" s="70"/>
      <c r="Z48" s="70"/>
      <c r="AA48" s="70"/>
      <c r="AB48" s="70"/>
      <c r="AC48" s="70"/>
    </row>
    <row r="49" ht="14.25" customHeight="1" outlineLevel="1">
      <c r="A49" s="72" t="s">
        <v>154</v>
      </c>
      <c r="B49" s="85">
        <f>4676.8</f>
        <v>4676.8</v>
      </c>
      <c r="C49" s="85">
        <f>5058.22</f>
        <v>5058.22</v>
      </c>
      <c r="D49" s="95">
        <f t="shared" si="51"/>
        <v>0.03631494964</v>
      </c>
      <c r="E49" s="70" t="s">
        <v>114</v>
      </c>
      <c r="F49" s="87">
        <v>0.04</v>
      </c>
      <c r="G49" s="88">
        <f t="shared" si="52"/>
        <v>7024.53312</v>
      </c>
      <c r="H49" s="89"/>
      <c r="I49" s="88">
        <f t="shared" ref="I49:T49" si="60">$G49*I$3</f>
        <v>407.8297064</v>
      </c>
      <c r="J49" s="88">
        <f t="shared" si="60"/>
        <v>390.8899804</v>
      </c>
      <c r="K49" s="88">
        <f t="shared" si="60"/>
        <v>455.2261318</v>
      </c>
      <c r="L49" s="88">
        <f t="shared" si="60"/>
        <v>496.357179</v>
      </c>
      <c r="M49" s="88">
        <f t="shared" si="60"/>
        <v>693.4845392</v>
      </c>
      <c r="N49" s="88">
        <f t="shared" si="60"/>
        <v>745.3479471</v>
      </c>
      <c r="O49" s="88">
        <f t="shared" si="60"/>
        <v>825.811646</v>
      </c>
      <c r="P49" s="88">
        <f t="shared" si="60"/>
        <v>740.4168625</v>
      </c>
      <c r="Q49" s="88">
        <f t="shared" si="60"/>
        <v>712.9768268</v>
      </c>
      <c r="R49" s="88">
        <f t="shared" si="60"/>
        <v>782.0120118</v>
      </c>
      <c r="S49" s="88">
        <f t="shared" si="60"/>
        <v>508.5978715</v>
      </c>
      <c r="T49" s="88">
        <f t="shared" si="60"/>
        <v>265.5824176</v>
      </c>
      <c r="U49" s="71"/>
      <c r="V49" s="71"/>
      <c r="W49" s="70"/>
      <c r="X49" s="70"/>
      <c r="Y49" s="70"/>
      <c r="Z49" s="70"/>
      <c r="AA49" s="70"/>
      <c r="AB49" s="70"/>
      <c r="AC49" s="70"/>
    </row>
    <row r="50" ht="14.25" customHeight="1" outlineLevel="1">
      <c r="A50" s="72" t="s">
        <v>155</v>
      </c>
      <c r="B50" s="85">
        <f>9519.68</f>
        <v>9519.68</v>
      </c>
      <c r="C50" s="85">
        <f>8867.76</f>
        <v>8867.76</v>
      </c>
      <c r="D50" s="95">
        <f t="shared" si="51"/>
        <v>0.06366513473</v>
      </c>
      <c r="E50" s="70" t="s">
        <v>114</v>
      </c>
      <c r="F50" s="87">
        <v>0.06</v>
      </c>
      <c r="G50" s="88">
        <f t="shared" si="52"/>
        <v>10536.79968</v>
      </c>
      <c r="H50" s="89"/>
      <c r="I50" s="88">
        <f t="shared" ref="I50:T50" si="61">$G50*I$3</f>
        <v>611.7445597</v>
      </c>
      <c r="J50" s="88">
        <f t="shared" si="61"/>
        <v>586.3349705</v>
      </c>
      <c r="K50" s="88">
        <f t="shared" si="61"/>
        <v>682.8391977</v>
      </c>
      <c r="L50" s="88">
        <f t="shared" si="61"/>
        <v>744.5357685</v>
      </c>
      <c r="M50" s="88">
        <f t="shared" si="61"/>
        <v>1040.226809</v>
      </c>
      <c r="N50" s="88">
        <f t="shared" si="61"/>
        <v>1118.021921</v>
      </c>
      <c r="O50" s="88">
        <f t="shared" si="61"/>
        <v>1238.717469</v>
      </c>
      <c r="P50" s="88">
        <f t="shared" si="61"/>
        <v>1110.625294</v>
      </c>
      <c r="Q50" s="88">
        <f t="shared" si="61"/>
        <v>1069.46524</v>
      </c>
      <c r="R50" s="88">
        <f t="shared" si="61"/>
        <v>1173.018018</v>
      </c>
      <c r="S50" s="88">
        <f t="shared" si="61"/>
        <v>762.8968072</v>
      </c>
      <c r="T50" s="88">
        <f t="shared" si="61"/>
        <v>398.3736265</v>
      </c>
      <c r="U50" s="71"/>
      <c r="V50" s="71"/>
      <c r="W50" s="70"/>
      <c r="X50" s="70"/>
      <c r="Y50" s="70"/>
      <c r="Z50" s="70"/>
      <c r="AA50" s="70"/>
      <c r="AB50" s="70"/>
      <c r="AC50" s="70"/>
    </row>
    <row r="51" ht="14.25" customHeight="1" outlineLevel="1">
      <c r="A51" s="72" t="s">
        <v>156</v>
      </c>
      <c r="B51" s="91">
        <f t="shared" ref="B51:C51" si="62">SUM(B40:B50)</f>
        <v>35275.44</v>
      </c>
      <c r="C51" s="91">
        <f t="shared" si="62"/>
        <v>29911.84</v>
      </c>
      <c r="D51" s="94"/>
      <c r="E51" s="70"/>
      <c r="F51" s="94"/>
      <c r="G51" s="91">
        <f>SUM(G40:G50)</f>
        <v>39337.38547</v>
      </c>
      <c r="H51" s="89"/>
      <c r="I51" s="88">
        <f t="shared" ref="I51:T51" si="63">sum(I41:I50)</f>
        <v>2283.846356</v>
      </c>
      <c r="J51" s="88">
        <f t="shared" si="63"/>
        <v>2188.98389</v>
      </c>
      <c r="K51" s="88">
        <f t="shared" si="63"/>
        <v>2549.266338</v>
      </c>
      <c r="L51" s="88">
        <f t="shared" si="63"/>
        <v>2779.600202</v>
      </c>
      <c r="M51" s="88">
        <f t="shared" si="63"/>
        <v>3883.51342</v>
      </c>
      <c r="N51" s="88">
        <f t="shared" si="63"/>
        <v>4173.948504</v>
      </c>
      <c r="O51" s="88">
        <f t="shared" si="63"/>
        <v>4624.545217</v>
      </c>
      <c r="P51" s="88">
        <f t="shared" si="63"/>
        <v>4146.33443</v>
      </c>
      <c r="Q51" s="88">
        <f t="shared" si="63"/>
        <v>3992.67023</v>
      </c>
      <c r="R51" s="88">
        <f t="shared" si="63"/>
        <v>4379.267266</v>
      </c>
      <c r="S51" s="88">
        <f t="shared" si="63"/>
        <v>2848.14808</v>
      </c>
      <c r="T51" s="88">
        <f t="shared" si="63"/>
        <v>1487.261539</v>
      </c>
      <c r="U51" s="71"/>
      <c r="V51" s="71"/>
      <c r="W51" s="70"/>
      <c r="X51" s="70"/>
      <c r="Y51" s="70"/>
      <c r="Z51" s="70"/>
      <c r="AA51" s="70"/>
      <c r="AB51" s="70"/>
      <c r="AC51" s="70"/>
    </row>
    <row r="52" ht="14.25" customHeight="1" outlineLevel="1">
      <c r="A52" s="72" t="s">
        <v>157</v>
      </c>
      <c r="B52" s="85">
        <f>700</f>
        <v>700</v>
      </c>
      <c r="C52" s="85">
        <f>406.05</f>
        <v>406.05</v>
      </c>
      <c r="D52" s="94"/>
      <c r="E52" s="70"/>
      <c r="F52" s="94"/>
      <c r="G52" s="70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0"/>
      <c r="X52" s="70"/>
      <c r="Y52" s="70"/>
      <c r="Z52" s="70"/>
      <c r="AA52" s="70"/>
      <c r="AB52" s="70"/>
      <c r="AC52" s="70"/>
    </row>
    <row r="53" ht="14.25" customHeight="1">
      <c r="A53" s="72" t="s">
        <v>158</v>
      </c>
      <c r="B53" s="91">
        <f t="shared" ref="B53:C53" si="64">((((B27)+(B39))+(B51))+(B52))+B23</f>
        <v>127592.64</v>
      </c>
      <c r="C53" s="91">
        <f t="shared" si="64"/>
        <v>112530.93</v>
      </c>
      <c r="D53" s="94"/>
      <c r="E53" s="70"/>
      <c r="F53" s="94"/>
      <c r="G53" s="91">
        <f>((((G27)+(G39))+(G51))+(G52))+G23</f>
        <v>131332.7167</v>
      </c>
      <c r="H53" s="89"/>
      <c r="I53" s="97">
        <f t="shared" ref="I53:T53" si="65">((((I27)+(I39))+(I51))+(I52))+I23</f>
        <v>8174.64342</v>
      </c>
      <c r="J53" s="97">
        <f t="shared" si="65"/>
        <v>7910.383694</v>
      </c>
      <c r="K53" s="97">
        <f t="shared" si="65"/>
        <v>8914.027656</v>
      </c>
      <c r="L53" s="97">
        <f t="shared" si="65"/>
        <v>9555.671992</v>
      </c>
      <c r="M53" s="97">
        <f t="shared" si="65"/>
        <v>12630.85881</v>
      </c>
      <c r="N53" s="97">
        <f t="shared" si="65"/>
        <v>13439.92798</v>
      </c>
      <c r="O53" s="97">
        <f t="shared" si="65"/>
        <v>14695.16168</v>
      </c>
      <c r="P53" s="97">
        <f t="shared" si="65"/>
        <v>13363.00305</v>
      </c>
      <c r="Q53" s="97">
        <f t="shared" si="65"/>
        <v>12934.9385</v>
      </c>
      <c r="R53" s="97">
        <f t="shared" si="65"/>
        <v>14011.88738</v>
      </c>
      <c r="S53" s="97">
        <f t="shared" si="65"/>
        <v>9746.626795</v>
      </c>
      <c r="T53" s="97">
        <f t="shared" si="65"/>
        <v>5955.585715</v>
      </c>
      <c r="U53" s="71"/>
      <c r="V53" s="71"/>
      <c r="W53" s="70"/>
      <c r="X53" s="70"/>
      <c r="Y53" s="70"/>
      <c r="Z53" s="70"/>
      <c r="AA53" s="70"/>
      <c r="AB53" s="70"/>
      <c r="AC53" s="70"/>
    </row>
    <row r="54" ht="14.25" customHeight="1">
      <c r="A54" s="72" t="s">
        <v>159</v>
      </c>
      <c r="B54" s="91">
        <f t="shared" ref="B54:C54" si="66">(B17)-(B53)</f>
        <v>12870.95</v>
      </c>
      <c r="C54" s="91">
        <f t="shared" si="66"/>
        <v>8839.13</v>
      </c>
      <c r="D54" s="70"/>
      <c r="E54" s="70"/>
      <c r="F54" s="94"/>
      <c r="G54" s="91">
        <f>(G17)-(G53)</f>
        <v>22621.88697</v>
      </c>
      <c r="H54" s="89"/>
      <c r="I54" s="97">
        <f t="shared" ref="I54:T54" si="67">(I17)-(I53)</f>
        <v>1280.309334</v>
      </c>
      <c r="J54" s="97">
        <f t="shared" si="67"/>
        <v>-686.1739906</v>
      </c>
      <c r="K54" s="97">
        <f t="shared" si="67"/>
        <v>-483.2788139</v>
      </c>
      <c r="L54" s="97">
        <f t="shared" si="67"/>
        <v>-400.8685415</v>
      </c>
      <c r="M54" s="97">
        <f t="shared" si="67"/>
        <v>302.4410337</v>
      </c>
      <c r="N54" s="97">
        <f t="shared" si="67"/>
        <v>3579.408754</v>
      </c>
      <c r="O54" s="97">
        <f t="shared" si="67"/>
        <v>3970.196003</v>
      </c>
      <c r="P54" s="97">
        <f t="shared" si="67"/>
        <v>7775.822171</v>
      </c>
      <c r="Q54" s="97">
        <f t="shared" si="67"/>
        <v>5348.323365</v>
      </c>
      <c r="R54" s="97">
        <f t="shared" si="67"/>
        <v>572.4259775</v>
      </c>
      <c r="S54" s="97">
        <f t="shared" si="67"/>
        <v>-261.4134982</v>
      </c>
      <c r="T54" s="97">
        <f t="shared" si="67"/>
        <v>1624.695174</v>
      </c>
      <c r="U54" s="71"/>
      <c r="V54" s="71"/>
      <c r="W54" s="70"/>
      <c r="X54" s="70"/>
      <c r="Y54" s="70"/>
      <c r="Z54" s="70"/>
      <c r="AA54" s="70"/>
      <c r="AB54" s="70"/>
      <c r="AC54" s="70"/>
    </row>
    <row r="55" ht="14.25" customHeight="1">
      <c r="A55" s="72" t="s">
        <v>160</v>
      </c>
      <c r="B55" s="93"/>
      <c r="C55" s="93"/>
      <c r="D55" s="70"/>
      <c r="E55" s="70"/>
      <c r="F55" s="70"/>
      <c r="G55" s="70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0"/>
      <c r="X55" s="70"/>
      <c r="Y55" s="70"/>
      <c r="Z55" s="70"/>
      <c r="AA55" s="70"/>
      <c r="AB55" s="70"/>
      <c r="AC55" s="70"/>
    </row>
    <row r="56" ht="14.25" customHeight="1">
      <c r="A56" s="72" t="s">
        <v>161</v>
      </c>
      <c r="B56" s="85">
        <f>9879.45</f>
        <v>9879.45</v>
      </c>
      <c r="C56" s="85">
        <f>6649.72</f>
        <v>6649.72</v>
      </c>
      <c r="D56" s="86">
        <f>C56/B56-1</f>
        <v>-0.3269139476</v>
      </c>
      <c r="E56" s="70" t="s">
        <v>133</v>
      </c>
      <c r="F56" s="105"/>
      <c r="G56" s="88" t="str">
        <f t="shared" ref="G56:G58" si="69">F56</f>
        <v/>
      </c>
      <c r="H56" s="89"/>
      <c r="I56" s="88">
        <f t="shared" ref="I56:T56" si="68">$G56/12</f>
        <v>0</v>
      </c>
      <c r="J56" s="88">
        <f t="shared" si="68"/>
        <v>0</v>
      </c>
      <c r="K56" s="88">
        <f t="shared" si="68"/>
        <v>0</v>
      </c>
      <c r="L56" s="88">
        <f t="shared" si="68"/>
        <v>0</v>
      </c>
      <c r="M56" s="88">
        <f t="shared" si="68"/>
        <v>0</v>
      </c>
      <c r="N56" s="88">
        <f t="shared" si="68"/>
        <v>0</v>
      </c>
      <c r="O56" s="88">
        <f t="shared" si="68"/>
        <v>0</v>
      </c>
      <c r="P56" s="88">
        <f t="shared" si="68"/>
        <v>0</v>
      </c>
      <c r="Q56" s="88">
        <f t="shared" si="68"/>
        <v>0</v>
      </c>
      <c r="R56" s="88">
        <f t="shared" si="68"/>
        <v>0</v>
      </c>
      <c r="S56" s="88">
        <f t="shared" si="68"/>
        <v>0</v>
      </c>
      <c r="T56" s="88">
        <f t="shared" si="68"/>
        <v>0</v>
      </c>
      <c r="U56" s="71"/>
      <c r="V56" s="71"/>
      <c r="W56" s="70"/>
      <c r="X56" s="70"/>
      <c r="Y56" s="70"/>
      <c r="Z56" s="70"/>
      <c r="AA56" s="70"/>
      <c r="AB56" s="70"/>
      <c r="AC56" s="70"/>
    </row>
    <row r="57" ht="14.25" customHeight="1">
      <c r="A57" s="72" t="s">
        <v>162</v>
      </c>
      <c r="B57" s="93">
        <v>0.0</v>
      </c>
      <c r="C57" s="85">
        <f>9080</f>
        <v>9080</v>
      </c>
      <c r="D57" s="86"/>
      <c r="E57" s="70" t="s">
        <v>133</v>
      </c>
      <c r="F57" s="105">
        <v>5000.0</v>
      </c>
      <c r="G57" s="88">
        <f t="shared" si="69"/>
        <v>5000</v>
      </c>
      <c r="H57" s="89"/>
      <c r="I57" s="88">
        <f t="shared" ref="I57:T57" si="70">$G57/12</f>
        <v>416.6666667</v>
      </c>
      <c r="J57" s="88">
        <f t="shared" si="70"/>
        <v>416.6666667</v>
      </c>
      <c r="K57" s="88">
        <f t="shared" si="70"/>
        <v>416.6666667</v>
      </c>
      <c r="L57" s="88">
        <f t="shared" si="70"/>
        <v>416.6666667</v>
      </c>
      <c r="M57" s="88">
        <f t="shared" si="70"/>
        <v>416.6666667</v>
      </c>
      <c r="N57" s="88">
        <f t="shared" si="70"/>
        <v>416.6666667</v>
      </c>
      <c r="O57" s="88">
        <f t="shared" si="70"/>
        <v>416.6666667</v>
      </c>
      <c r="P57" s="88">
        <f t="shared" si="70"/>
        <v>416.6666667</v>
      </c>
      <c r="Q57" s="88">
        <f t="shared" si="70"/>
        <v>416.6666667</v>
      </c>
      <c r="R57" s="88">
        <f t="shared" si="70"/>
        <v>416.6666667</v>
      </c>
      <c r="S57" s="88">
        <f t="shared" si="70"/>
        <v>416.6666667</v>
      </c>
      <c r="T57" s="88">
        <f t="shared" si="70"/>
        <v>416.6666667</v>
      </c>
      <c r="U57" s="71"/>
      <c r="V57" s="71"/>
      <c r="W57" s="70"/>
      <c r="X57" s="70"/>
      <c r="Y57" s="70"/>
      <c r="Z57" s="70"/>
      <c r="AA57" s="70"/>
      <c r="AB57" s="70"/>
      <c r="AC57" s="70"/>
    </row>
    <row r="58" ht="14.25" customHeight="1">
      <c r="A58" s="72" t="s">
        <v>163</v>
      </c>
      <c r="B58" s="85">
        <f>4183.92</f>
        <v>4183.92</v>
      </c>
      <c r="C58" s="85">
        <f>80</f>
        <v>80</v>
      </c>
      <c r="D58" s="86">
        <f t="shared" ref="D58:D59" si="73">C58/B58-1</f>
        <v>-0.9808791755</v>
      </c>
      <c r="E58" s="70" t="s">
        <v>133</v>
      </c>
      <c r="F58" s="105">
        <v>2000.0</v>
      </c>
      <c r="G58" s="88">
        <f t="shared" si="69"/>
        <v>2000</v>
      </c>
      <c r="H58" s="89"/>
      <c r="I58" s="88">
        <f t="shared" ref="I58:T58" si="71">$G58/12</f>
        <v>166.6666667</v>
      </c>
      <c r="J58" s="88">
        <f t="shared" si="71"/>
        <v>166.6666667</v>
      </c>
      <c r="K58" s="88">
        <f t="shared" si="71"/>
        <v>166.6666667</v>
      </c>
      <c r="L58" s="88">
        <f t="shared" si="71"/>
        <v>166.6666667</v>
      </c>
      <c r="M58" s="88">
        <f t="shared" si="71"/>
        <v>166.6666667</v>
      </c>
      <c r="N58" s="88">
        <f t="shared" si="71"/>
        <v>166.6666667</v>
      </c>
      <c r="O58" s="88">
        <f t="shared" si="71"/>
        <v>166.6666667</v>
      </c>
      <c r="P58" s="88">
        <f t="shared" si="71"/>
        <v>166.6666667</v>
      </c>
      <c r="Q58" s="88">
        <f t="shared" si="71"/>
        <v>166.6666667</v>
      </c>
      <c r="R58" s="88">
        <f t="shared" si="71"/>
        <v>166.6666667</v>
      </c>
      <c r="S58" s="88">
        <f t="shared" si="71"/>
        <v>166.6666667</v>
      </c>
      <c r="T58" s="88">
        <f t="shared" si="71"/>
        <v>166.6666667</v>
      </c>
      <c r="U58" s="71"/>
      <c r="V58" s="71"/>
      <c r="W58" s="70"/>
      <c r="X58" s="70"/>
      <c r="Y58" s="70"/>
      <c r="Z58" s="70"/>
      <c r="AA58" s="70"/>
      <c r="AB58" s="70"/>
      <c r="AC58" s="70"/>
    </row>
    <row r="59" ht="14.25" customHeight="1">
      <c r="A59" s="72" t="s">
        <v>164</v>
      </c>
      <c r="B59" s="91">
        <f t="shared" ref="B59:C59" si="72">((B56)+(B57))+(B58)</f>
        <v>14063.37</v>
      </c>
      <c r="C59" s="91">
        <f t="shared" si="72"/>
        <v>15809.72</v>
      </c>
      <c r="D59" s="86">
        <f t="shared" si="73"/>
        <v>0.1241772065</v>
      </c>
      <c r="E59" s="70"/>
      <c r="F59" s="70"/>
      <c r="G59" s="91">
        <f>((G56)+(G57))+(G58)</f>
        <v>7000</v>
      </c>
      <c r="H59" s="89"/>
      <c r="I59" s="97">
        <f t="shared" ref="I59:T59" si="74">((I56)+(I57))+(I58)</f>
        <v>583.3333333</v>
      </c>
      <c r="J59" s="97">
        <f t="shared" si="74"/>
        <v>583.3333333</v>
      </c>
      <c r="K59" s="97">
        <f t="shared" si="74"/>
        <v>583.3333333</v>
      </c>
      <c r="L59" s="97">
        <f t="shared" si="74"/>
        <v>583.3333333</v>
      </c>
      <c r="M59" s="97">
        <f t="shared" si="74"/>
        <v>583.3333333</v>
      </c>
      <c r="N59" s="97">
        <f t="shared" si="74"/>
        <v>583.3333333</v>
      </c>
      <c r="O59" s="97">
        <f t="shared" si="74"/>
        <v>583.3333333</v>
      </c>
      <c r="P59" s="97">
        <f t="shared" si="74"/>
        <v>583.3333333</v>
      </c>
      <c r="Q59" s="97">
        <f t="shared" si="74"/>
        <v>583.3333333</v>
      </c>
      <c r="R59" s="97">
        <f t="shared" si="74"/>
        <v>583.3333333</v>
      </c>
      <c r="S59" s="97">
        <f t="shared" si="74"/>
        <v>583.3333333</v>
      </c>
      <c r="T59" s="97">
        <f t="shared" si="74"/>
        <v>583.3333333</v>
      </c>
      <c r="U59" s="71"/>
      <c r="V59" s="71"/>
      <c r="W59" s="70"/>
      <c r="X59" s="70"/>
      <c r="Y59" s="70"/>
      <c r="Z59" s="70"/>
      <c r="AA59" s="70"/>
      <c r="AB59" s="70"/>
      <c r="AC59" s="70"/>
    </row>
    <row r="60" ht="14.25" customHeight="1">
      <c r="A60" s="72" t="s">
        <v>165</v>
      </c>
      <c r="B60" s="85">
        <f>0</f>
        <v>0</v>
      </c>
      <c r="C60" s="85">
        <f>1</f>
        <v>1</v>
      </c>
      <c r="D60" s="86"/>
      <c r="E60" s="70"/>
      <c r="F60" s="70"/>
      <c r="G60" s="70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0"/>
      <c r="X60" s="70"/>
      <c r="Y60" s="70"/>
      <c r="Z60" s="70"/>
      <c r="AA60" s="70"/>
      <c r="AB60" s="70"/>
      <c r="AC60" s="70"/>
    </row>
    <row r="61" ht="14.25" customHeight="1">
      <c r="A61" s="72" t="s">
        <v>166</v>
      </c>
      <c r="B61" s="91">
        <f t="shared" ref="B61:C61" si="75">(B59)+(B60)</f>
        <v>14063.37</v>
      </c>
      <c r="C61" s="91">
        <f t="shared" si="75"/>
        <v>15810.72</v>
      </c>
      <c r="D61" s="86"/>
      <c r="E61" s="70"/>
      <c r="F61" s="70"/>
      <c r="G61" s="91">
        <f>(G59)+(G60)</f>
        <v>7000</v>
      </c>
      <c r="H61" s="89"/>
      <c r="I61" s="97">
        <f t="shared" ref="I61:T61" si="76">(I59)+(I60)</f>
        <v>583.3333333</v>
      </c>
      <c r="J61" s="97">
        <f t="shared" si="76"/>
        <v>583.3333333</v>
      </c>
      <c r="K61" s="97">
        <f t="shared" si="76"/>
        <v>583.3333333</v>
      </c>
      <c r="L61" s="97">
        <f t="shared" si="76"/>
        <v>583.3333333</v>
      </c>
      <c r="M61" s="97">
        <f t="shared" si="76"/>
        <v>583.3333333</v>
      </c>
      <c r="N61" s="97">
        <f t="shared" si="76"/>
        <v>583.3333333</v>
      </c>
      <c r="O61" s="97">
        <f t="shared" si="76"/>
        <v>583.3333333</v>
      </c>
      <c r="P61" s="97">
        <f t="shared" si="76"/>
        <v>583.3333333</v>
      </c>
      <c r="Q61" s="97">
        <f t="shared" si="76"/>
        <v>583.3333333</v>
      </c>
      <c r="R61" s="97">
        <f t="shared" si="76"/>
        <v>583.3333333</v>
      </c>
      <c r="S61" s="97">
        <f t="shared" si="76"/>
        <v>583.3333333</v>
      </c>
      <c r="T61" s="97">
        <f t="shared" si="76"/>
        <v>583.3333333</v>
      </c>
      <c r="U61" s="71"/>
      <c r="V61" s="71"/>
      <c r="W61" s="70"/>
      <c r="X61" s="70"/>
      <c r="Y61" s="70"/>
      <c r="Z61" s="70"/>
      <c r="AA61" s="70"/>
      <c r="AB61" s="70"/>
      <c r="AC61" s="70"/>
    </row>
    <row r="62" ht="14.25" customHeight="1">
      <c r="A62" s="72" t="s">
        <v>167</v>
      </c>
      <c r="B62" s="91">
        <f t="shared" ref="B62:C62" si="77">(0)-(B61)</f>
        <v>-14063.37</v>
      </c>
      <c r="C62" s="91">
        <f t="shared" si="77"/>
        <v>-15810.72</v>
      </c>
      <c r="D62" s="86"/>
      <c r="E62" s="70"/>
      <c r="F62" s="70"/>
      <c r="G62" s="91">
        <f>(0)-(G61)</f>
        <v>-7000</v>
      </c>
      <c r="H62" s="89"/>
      <c r="I62" s="97">
        <f t="shared" ref="I62:T62" si="78">(0)-(I61)</f>
        <v>-583.3333333</v>
      </c>
      <c r="J62" s="97">
        <f t="shared" si="78"/>
        <v>-583.3333333</v>
      </c>
      <c r="K62" s="97">
        <f t="shared" si="78"/>
        <v>-583.3333333</v>
      </c>
      <c r="L62" s="97">
        <f t="shared" si="78"/>
        <v>-583.3333333</v>
      </c>
      <c r="M62" s="97">
        <f t="shared" si="78"/>
        <v>-583.3333333</v>
      </c>
      <c r="N62" s="97">
        <f t="shared" si="78"/>
        <v>-583.3333333</v>
      </c>
      <c r="O62" s="97">
        <f t="shared" si="78"/>
        <v>-583.3333333</v>
      </c>
      <c r="P62" s="97">
        <f t="shared" si="78"/>
        <v>-583.3333333</v>
      </c>
      <c r="Q62" s="97">
        <f t="shared" si="78"/>
        <v>-583.3333333</v>
      </c>
      <c r="R62" s="97">
        <f t="shared" si="78"/>
        <v>-583.3333333</v>
      </c>
      <c r="S62" s="97">
        <f t="shared" si="78"/>
        <v>-583.3333333</v>
      </c>
      <c r="T62" s="97">
        <f t="shared" si="78"/>
        <v>-583.3333333</v>
      </c>
      <c r="U62" s="71"/>
      <c r="V62" s="71"/>
      <c r="W62" s="70"/>
      <c r="X62" s="70"/>
      <c r="Y62" s="70"/>
      <c r="Z62" s="70"/>
      <c r="AA62" s="70"/>
      <c r="AB62" s="70"/>
      <c r="AC62" s="70"/>
    </row>
    <row r="63" ht="14.25" customHeight="1">
      <c r="A63" s="72" t="s">
        <v>49</v>
      </c>
      <c r="B63" s="91">
        <f t="shared" ref="B63:C63" si="79">(B54)+(B62)</f>
        <v>-1192.42</v>
      </c>
      <c r="C63" s="91">
        <f t="shared" si="79"/>
        <v>-6971.59</v>
      </c>
      <c r="D63" s="86"/>
      <c r="E63" s="70"/>
      <c r="F63" s="70"/>
      <c r="G63" s="91">
        <f>(G54)+(G62)</f>
        <v>15621.88697</v>
      </c>
      <c r="H63" s="89"/>
      <c r="I63" s="97">
        <f t="shared" ref="I63:T63" si="80">(I54)+(I62)</f>
        <v>696.9760008</v>
      </c>
      <c r="J63" s="97">
        <f t="shared" si="80"/>
        <v>-1269.507324</v>
      </c>
      <c r="K63" s="97">
        <f t="shared" si="80"/>
        <v>-1066.612147</v>
      </c>
      <c r="L63" s="97">
        <f t="shared" si="80"/>
        <v>-984.2018749</v>
      </c>
      <c r="M63" s="97">
        <f t="shared" si="80"/>
        <v>-280.8922996</v>
      </c>
      <c r="N63" s="97">
        <f t="shared" si="80"/>
        <v>2996.075421</v>
      </c>
      <c r="O63" s="97">
        <f t="shared" si="80"/>
        <v>3386.862669</v>
      </c>
      <c r="P63" s="97">
        <f t="shared" si="80"/>
        <v>7192.488837</v>
      </c>
      <c r="Q63" s="97">
        <f t="shared" si="80"/>
        <v>4764.990032</v>
      </c>
      <c r="R63" s="97">
        <f t="shared" si="80"/>
        <v>-10.90735586</v>
      </c>
      <c r="S63" s="97">
        <f t="shared" si="80"/>
        <v>-844.7468315</v>
      </c>
      <c r="T63" s="97">
        <f t="shared" si="80"/>
        <v>1041.361841</v>
      </c>
      <c r="U63" s="80"/>
      <c r="V63" s="71"/>
      <c r="W63" s="70"/>
      <c r="X63" s="70"/>
      <c r="Y63" s="70"/>
      <c r="Z63" s="70"/>
      <c r="AA63" s="70"/>
      <c r="AB63" s="70"/>
      <c r="AC63" s="70"/>
    </row>
    <row r="64" ht="14.25" customHeight="1">
      <c r="A64" s="72"/>
      <c r="B64" s="107"/>
      <c r="C64" s="107"/>
      <c r="D64" s="108"/>
      <c r="E64" s="109" t="s">
        <v>168</v>
      </c>
      <c r="F64" s="110">
        <v>15000.0</v>
      </c>
      <c r="G64" s="109"/>
      <c r="H64" s="70"/>
      <c r="I64" s="109"/>
      <c r="J64" s="109"/>
      <c r="K64" s="109"/>
      <c r="L64" s="109"/>
      <c r="M64" s="80"/>
      <c r="N64" s="80"/>
      <c r="O64" s="80"/>
      <c r="P64" s="80"/>
      <c r="Q64" s="80"/>
      <c r="R64" s="80"/>
      <c r="S64" s="80"/>
      <c r="T64" s="80"/>
      <c r="U64" s="71"/>
      <c r="V64" s="71"/>
      <c r="W64" s="70"/>
      <c r="X64" s="70"/>
      <c r="Y64" s="70"/>
      <c r="Z64" s="70"/>
      <c r="AA64" s="70"/>
      <c r="AB64" s="70"/>
      <c r="AC64" s="70"/>
    </row>
    <row r="65" ht="14.25" customHeight="1">
      <c r="A65" s="111"/>
      <c r="B65" s="112"/>
      <c r="C65" s="112"/>
      <c r="D65" s="113"/>
      <c r="E65" s="109"/>
      <c r="F65" s="114"/>
      <c r="G65" s="115" t="s">
        <v>169</v>
      </c>
      <c r="H65" s="70"/>
      <c r="I65" s="109">
        <v>208.33333333333334</v>
      </c>
      <c r="J65" s="109">
        <v>208.33333333333334</v>
      </c>
      <c r="K65" s="109">
        <v>208.33333333333334</v>
      </c>
      <c r="L65" s="109">
        <v>208.33333333333334</v>
      </c>
      <c r="M65" s="109">
        <v>208.33333333333334</v>
      </c>
      <c r="N65" s="109">
        <v>208.33333333333334</v>
      </c>
      <c r="O65" s="109">
        <v>208.33333333333334</v>
      </c>
      <c r="P65" s="109">
        <v>208.33333333333334</v>
      </c>
      <c r="Q65" s="109">
        <v>208.33333333333334</v>
      </c>
      <c r="R65" s="109">
        <v>208.33333333333334</v>
      </c>
      <c r="S65" s="109">
        <v>208.33333333333334</v>
      </c>
      <c r="T65" s="109">
        <v>208.33333333333334</v>
      </c>
      <c r="U65" s="70"/>
      <c r="V65" s="71"/>
      <c r="W65" s="70"/>
      <c r="X65" s="70"/>
      <c r="Y65" s="70"/>
      <c r="Z65" s="70"/>
      <c r="AA65" s="70"/>
      <c r="AB65" s="70"/>
      <c r="AC65" s="70"/>
    </row>
    <row r="66" ht="14.25" customHeight="1">
      <c r="A66" s="111"/>
      <c r="B66" s="107"/>
      <c r="C66" s="112"/>
      <c r="D66" s="108"/>
      <c r="E66" s="109"/>
      <c r="F66" s="114"/>
      <c r="G66" s="116" t="s">
        <v>170</v>
      </c>
      <c r="H66" s="70"/>
      <c r="I66" s="109">
        <v>3740.0</v>
      </c>
      <c r="J66" s="109">
        <v>3740.0</v>
      </c>
      <c r="K66" s="109">
        <v>3740.0</v>
      </c>
      <c r="L66" s="109">
        <v>3740.0</v>
      </c>
      <c r="M66" s="109">
        <v>3740.0</v>
      </c>
      <c r="N66" s="109">
        <v>3540.0</v>
      </c>
      <c r="O66" s="109">
        <v>3440.0</v>
      </c>
      <c r="P66" s="109">
        <v>3440.0</v>
      </c>
      <c r="Q66" s="109">
        <v>3440.0</v>
      </c>
      <c r="R66" s="109">
        <v>3440.0</v>
      </c>
      <c r="S66" s="109">
        <v>3440.0</v>
      </c>
      <c r="T66" s="109">
        <v>3440.0</v>
      </c>
      <c r="U66" s="70"/>
      <c r="V66" s="71"/>
      <c r="W66" s="70"/>
      <c r="X66" s="70"/>
      <c r="Y66" s="70"/>
      <c r="Z66" s="70"/>
      <c r="AA66" s="70"/>
      <c r="AB66" s="70"/>
      <c r="AC66" s="70"/>
    </row>
    <row r="67" ht="14.25" customHeight="1">
      <c r="A67" s="111"/>
      <c r="B67" s="112"/>
      <c r="C67" s="112"/>
      <c r="D67" s="108"/>
      <c r="E67" s="109"/>
      <c r="F67" s="114"/>
      <c r="G67" s="116" t="s">
        <v>171</v>
      </c>
      <c r="H67" s="70"/>
      <c r="I67" s="109">
        <f t="shared" ref="I67:T67" si="81">(I63+I65)-I66</f>
        <v>-2834.690666</v>
      </c>
      <c r="J67" s="109">
        <f t="shared" si="81"/>
        <v>-4801.173991</v>
      </c>
      <c r="K67" s="109">
        <f t="shared" si="81"/>
        <v>-4598.278814</v>
      </c>
      <c r="L67" s="109">
        <f t="shared" si="81"/>
        <v>-4515.868542</v>
      </c>
      <c r="M67" s="109">
        <f t="shared" si="81"/>
        <v>-3812.558966</v>
      </c>
      <c r="N67" s="109">
        <f t="shared" si="81"/>
        <v>-335.591246</v>
      </c>
      <c r="O67" s="109">
        <f t="shared" si="81"/>
        <v>155.1960028</v>
      </c>
      <c r="P67" s="109">
        <f t="shared" si="81"/>
        <v>3960.822171</v>
      </c>
      <c r="Q67" s="109">
        <f t="shared" si="81"/>
        <v>1533.323365</v>
      </c>
      <c r="R67" s="109">
        <f t="shared" si="81"/>
        <v>-3242.574023</v>
      </c>
      <c r="S67" s="109">
        <f t="shared" si="81"/>
        <v>-4076.413498</v>
      </c>
      <c r="T67" s="109">
        <f t="shared" si="81"/>
        <v>-2190.304826</v>
      </c>
      <c r="U67" s="117">
        <f>SUM(I67:T67)</f>
        <v>-24758.11303</v>
      </c>
      <c r="V67" s="118" t="s">
        <v>172</v>
      </c>
      <c r="W67" s="70"/>
      <c r="X67" s="70"/>
      <c r="Y67" s="70"/>
      <c r="Z67" s="70"/>
      <c r="AA67" s="70"/>
      <c r="AB67" s="70"/>
      <c r="AC67" s="70"/>
    </row>
    <row r="68" ht="14.25" customHeight="1">
      <c r="A68" s="72"/>
      <c r="B68" s="119"/>
      <c r="C68" s="119"/>
      <c r="D68" s="113"/>
      <c r="E68" s="109"/>
      <c r="F68" s="109"/>
      <c r="G68" s="120" t="s">
        <v>173</v>
      </c>
      <c r="H68" s="121"/>
      <c r="I68" s="122">
        <f>I67+$F$64</f>
        <v>12165.30933</v>
      </c>
      <c r="J68" s="122">
        <f t="shared" ref="J68:T68" si="82">I68+J67</f>
        <v>7364.135343</v>
      </c>
      <c r="K68" s="122">
        <f t="shared" si="82"/>
        <v>2765.85653</v>
      </c>
      <c r="L68" s="122">
        <f t="shared" si="82"/>
        <v>-1750.012012</v>
      </c>
      <c r="M68" s="122">
        <f t="shared" si="82"/>
        <v>-5562.570978</v>
      </c>
      <c r="N68" s="122">
        <f t="shared" si="82"/>
        <v>-5898.162224</v>
      </c>
      <c r="O68" s="122">
        <f t="shared" si="82"/>
        <v>-5742.966221</v>
      </c>
      <c r="P68" s="122">
        <f t="shared" si="82"/>
        <v>-1782.144051</v>
      </c>
      <c r="Q68" s="122">
        <f t="shared" si="82"/>
        <v>-248.8206855</v>
      </c>
      <c r="R68" s="122">
        <f t="shared" si="82"/>
        <v>-3491.394708</v>
      </c>
      <c r="S68" s="122">
        <f t="shared" si="82"/>
        <v>-7567.808206</v>
      </c>
      <c r="T68" s="122">
        <f t="shared" si="82"/>
        <v>-9758.113032</v>
      </c>
      <c r="U68" s="69"/>
      <c r="V68" s="71"/>
      <c r="W68" s="70"/>
      <c r="X68" s="70"/>
      <c r="Y68" s="70"/>
      <c r="Z68" s="70"/>
      <c r="AA68" s="70"/>
      <c r="AB68" s="70"/>
      <c r="AC68" s="70"/>
    </row>
    <row r="69" ht="14.25" customHeight="1">
      <c r="A69" s="111"/>
      <c r="B69" s="112"/>
      <c r="C69" s="112"/>
      <c r="D69" s="108"/>
      <c r="E69" s="109"/>
      <c r="F69" s="109"/>
      <c r="G69" s="109"/>
      <c r="H69" s="70"/>
      <c r="I69" s="70"/>
      <c r="J69" s="70"/>
      <c r="K69" s="70"/>
      <c r="L69" s="70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0"/>
      <c r="X69" s="70"/>
      <c r="Y69" s="70"/>
      <c r="Z69" s="70"/>
      <c r="AA69" s="70"/>
      <c r="AB69" s="70"/>
      <c r="AC69" s="70"/>
    </row>
    <row r="70" ht="14.25" customHeight="1">
      <c r="A70" s="72"/>
      <c r="B70" s="119"/>
      <c r="C70" s="119"/>
      <c r="D70" s="108"/>
      <c r="E70" s="109"/>
      <c r="F70" s="109"/>
      <c r="G70" s="119"/>
      <c r="H70" s="70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71"/>
      <c r="V70" s="71"/>
      <c r="W70" s="70"/>
      <c r="X70" s="70"/>
      <c r="Y70" s="70"/>
      <c r="Z70" s="70"/>
      <c r="AA70" s="70"/>
      <c r="AB70" s="70"/>
      <c r="AC70" s="70"/>
    </row>
    <row r="71" ht="14.25" customHeight="1">
      <c r="A71" s="72"/>
      <c r="B71" s="119"/>
      <c r="C71" s="119"/>
      <c r="D71" s="108"/>
      <c r="E71" s="109"/>
      <c r="F71" s="109"/>
      <c r="G71" s="119"/>
      <c r="H71" s="70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71"/>
      <c r="V71" s="71"/>
      <c r="W71" s="70"/>
      <c r="X71" s="70"/>
      <c r="Y71" s="70"/>
      <c r="Z71" s="70"/>
      <c r="AA71" s="70"/>
      <c r="AB71" s="70"/>
      <c r="AC71" s="70"/>
    </row>
    <row r="72" ht="14.25" customHeight="1">
      <c r="A72" s="72"/>
      <c r="B72" s="119"/>
      <c r="C72" s="119"/>
      <c r="D72" s="123"/>
      <c r="E72" s="109"/>
      <c r="F72" s="109"/>
      <c r="G72" s="119"/>
      <c r="H72" s="70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80"/>
      <c r="V72" s="71"/>
      <c r="W72" s="70"/>
      <c r="X72" s="70"/>
      <c r="Y72" s="70"/>
      <c r="Z72" s="70"/>
      <c r="AA72" s="70"/>
      <c r="AB72" s="70"/>
      <c r="AC72" s="70"/>
    </row>
    <row r="73" ht="14.25" customHeight="1">
      <c r="A73" s="72"/>
      <c r="B73" s="124"/>
      <c r="C73" s="124"/>
      <c r="D73" s="125"/>
      <c r="E73" s="70"/>
      <c r="F73" s="70"/>
      <c r="G73" s="70"/>
      <c r="H73" s="70"/>
      <c r="I73" s="70"/>
      <c r="J73" s="70"/>
      <c r="K73" s="70"/>
      <c r="L73" s="70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0"/>
      <c r="X73" s="70"/>
      <c r="Y73" s="70"/>
      <c r="Z73" s="70"/>
      <c r="AA73" s="70"/>
      <c r="AB73" s="70"/>
      <c r="AC73" s="70"/>
    </row>
    <row r="74" ht="14.25" customHeight="1">
      <c r="A74" s="71"/>
      <c r="B74" s="71"/>
      <c r="C74" s="70"/>
      <c r="D74" s="125"/>
      <c r="E74" s="70"/>
      <c r="F74" s="70"/>
      <c r="G74" s="70"/>
      <c r="H74" s="70"/>
      <c r="I74" s="70"/>
      <c r="J74" s="70"/>
      <c r="K74" s="70"/>
      <c r="L74" s="70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</row>
    <row r="75" ht="14.25" customHeight="1">
      <c r="A75" s="71"/>
      <c r="B75" s="71"/>
      <c r="C75" s="70"/>
      <c r="D75" s="125"/>
      <c r="E75" s="70"/>
      <c r="F75" s="70"/>
      <c r="G75" s="70"/>
      <c r="H75" s="70"/>
      <c r="I75" s="70"/>
      <c r="J75" s="70"/>
      <c r="K75" s="70"/>
      <c r="L75" s="70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</row>
    <row r="76" ht="14.25" customHeight="1">
      <c r="A76" s="70"/>
      <c r="B76" s="71"/>
      <c r="C76" s="70"/>
      <c r="D76" s="125"/>
      <c r="E76" s="70"/>
      <c r="F76" s="70"/>
      <c r="G76" s="70"/>
      <c r="H76" s="70"/>
      <c r="I76" s="70"/>
      <c r="J76" s="70"/>
      <c r="K76" s="70"/>
      <c r="L76" s="70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0"/>
      <c r="X76" s="70"/>
      <c r="Y76" s="70"/>
      <c r="Z76" s="70"/>
      <c r="AA76" s="70"/>
      <c r="AB76" s="70"/>
      <c r="AC76" s="70"/>
    </row>
    <row r="77" ht="14.25" customHeight="1">
      <c r="A77" s="71"/>
      <c r="B77" s="71"/>
      <c r="C77" s="70"/>
      <c r="D77" s="125"/>
      <c r="E77" s="70"/>
      <c r="F77" s="70"/>
      <c r="G77" s="70"/>
      <c r="H77" s="70"/>
      <c r="I77" s="70"/>
      <c r="J77" s="70"/>
      <c r="K77" s="70"/>
      <c r="L77" s="70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</row>
    <row r="78" ht="14.25" customHeight="1">
      <c r="A78" s="71"/>
      <c r="B78" s="71"/>
      <c r="C78" s="70"/>
      <c r="D78" s="125"/>
      <c r="E78" s="70"/>
      <c r="F78" s="70"/>
      <c r="G78" s="70"/>
      <c r="H78" s="70"/>
      <c r="I78" s="70"/>
      <c r="J78" s="70"/>
      <c r="K78" s="70"/>
      <c r="L78" s="70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</row>
    <row r="79" ht="14.25" customHeight="1">
      <c r="A79" s="71"/>
      <c r="B79" s="71"/>
      <c r="C79" s="70"/>
      <c r="D79" s="125"/>
      <c r="E79" s="70"/>
      <c r="F79" s="70"/>
      <c r="G79" s="70"/>
      <c r="H79" s="70"/>
      <c r="I79" s="70"/>
      <c r="J79" s="70"/>
      <c r="K79" s="70"/>
      <c r="L79" s="70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</row>
    <row r="80" ht="14.25" customHeight="1">
      <c r="A80" s="71"/>
      <c r="B80" s="71"/>
      <c r="C80" s="70"/>
      <c r="D80" s="125"/>
      <c r="E80" s="70"/>
      <c r="F80" s="70"/>
      <c r="G80" s="70"/>
      <c r="H80" s="70"/>
      <c r="I80" s="70"/>
      <c r="J80" s="70"/>
      <c r="K80" s="70"/>
      <c r="L80" s="70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</row>
    <row r="81" ht="14.25" customHeight="1">
      <c r="A81" s="71"/>
      <c r="B81" s="71"/>
      <c r="C81" s="70"/>
      <c r="D81" s="125"/>
      <c r="E81" s="70"/>
      <c r="F81" s="70"/>
      <c r="G81" s="70"/>
      <c r="H81" s="70"/>
      <c r="I81" s="70"/>
      <c r="J81" s="70"/>
      <c r="K81" s="70"/>
      <c r="L81" s="70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ht="14.25" customHeight="1">
      <c r="A82" s="71"/>
      <c r="B82" s="71"/>
      <c r="C82" s="70"/>
      <c r="D82" s="125"/>
      <c r="E82" s="70"/>
      <c r="F82" s="70"/>
      <c r="G82" s="70"/>
      <c r="H82" s="70"/>
      <c r="I82" s="70"/>
      <c r="J82" s="70"/>
      <c r="K82" s="70"/>
      <c r="L82" s="70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ht="14.25" customHeight="1">
      <c r="A83" s="71"/>
      <c r="B83" s="71"/>
      <c r="C83" s="70"/>
      <c r="D83" s="125"/>
      <c r="E83" s="70"/>
      <c r="F83" s="70"/>
      <c r="G83" s="70"/>
      <c r="H83" s="70"/>
      <c r="I83" s="70"/>
      <c r="J83" s="70"/>
      <c r="K83" s="70"/>
      <c r="L83" s="70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</row>
    <row r="84" ht="14.25" customHeight="1">
      <c r="A84" s="71"/>
      <c r="B84" s="71"/>
      <c r="C84" s="70"/>
      <c r="D84" s="125"/>
      <c r="E84" s="70"/>
      <c r="F84" s="70"/>
      <c r="G84" s="70"/>
      <c r="H84" s="70"/>
      <c r="I84" s="70"/>
      <c r="J84" s="70"/>
      <c r="K84" s="70"/>
      <c r="L84" s="70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</row>
    <row r="85" ht="14.25" customHeight="1">
      <c r="A85" s="71"/>
      <c r="B85" s="71"/>
      <c r="C85" s="70"/>
      <c r="D85" s="125"/>
      <c r="E85" s="70"/>
      <c r="F85" s="70"/>
      <c r="G85" s="70"/>
      <c r="H85" s="70"/>
      <c r="I85" s="70"/>
      <c r="J85" s="70"/>
      <c r="K85" s="70"/>
      <c r="L85" s="70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</row>
    <row r="86" ht="14.25" customHeight="1">
      <c r="A86" s="71"/>
      <c r="B86" s="71"/>
      <c r="C86" s="70"/>
      <c r="D86" s="125"/>
      <c r="E86" s="70"/>
      <c r="F86" s="70"/>
      <c r="G86" s="70"/>
      <c r="H86" s="70"/>
      <c r="I86" s="70"/>
      <c r="J86" s="70"/>
      <c r="K86" s="70"/>
      <c r="L86" s="70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</row>
    <row r="87" ht="14.25" customHeight="1">
      <c r="A87" s="71"/>
      <c r="B87" s="71"/>
      <c r="C87" s="70"/>
      <c r="D87" s="125"/>
      <c r="E87" s="70"/>
      <c r="F87" s="70"/>
      <c r="G87" s="70"/>
      <c r="H87" s="70"/>
      <c r="I87" s="70"/>
      <c r="J87" s="70"/>
      <c r="K87" s="70"/>
      <c r="L87" s="70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</row>
    <row r="88" ht="14.25" customHeight="1">
      <c r="A88" s="71"/>
      <c r="B88" s="71"/>
      <c r="C88" s="70"/>
      <c r="D88" s="125"/>
      <c r="E88" s="70"/>
      <c r="F88" s="70"/>
      <c r="G88" s="70"/>
      <c r="H88" s="70"/>
      <c r="I88" s="70"/>
      <c r="J88" s="70"/>
      <c r="K88" s="70"/>
      <c r="L88" s="70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</row>
    <row r="89" ht="14.25" customHeight="1">
      <c r="A89" s="71"/>
      <c r="B89" s="71"/>
      <c r="C89" s="70"/>
      <c r="D89" s="125"/>
      <c r="E89" s="70"/>
      <c r="F89" s="70"/>
      <c r="G89" s="70"/>
      <c r="H89" s="70"/>
      <c r="I89" s="70"/>
      <c r="J89" s="70"/>
      <c r="K89" s="70"/>
      <c r="L89" s="70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</row>
    <row r="90" ht="14.25" customHeight="1">
      <c r="A90" s="71"/>
      <c r="B90" s="71"/>
      <c r="C90" s="70"/>
      <c r="D90" s="125"/>
      <c r="E90" s="70"/>
      <c r="F90" s="70"/>
      <c r="G90" s="70"/>
      <c r="H90" s="70"/>
      <c r="I90" s="70"/>
      <c r="J90" s="70"/>
      <c r="K90" s="70"/>
      <c r="L90" s="70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</row>
    <row r="91" ht="14.25" customHeight="1">
      <c r="A91" s="71"/>
      <c r="B91" s="71"/>
      <c r="C91" s="70"/>
      <c r="D91" s="125"/>
      <c r="E91" s="70"/>
      <c r="F91" s="70"/>
      <c r="G91" s="70"/>
      <c r="H91" s="70"/>
      <c r="I91" s="70"/>
      <c r="J91" s="70"/>
      <c r="K91" s="70"/>
      <c r="L91" s="70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</row>
    <row r="92" ht="14.25" customHeight="1">
      <c r="A92" s="71"/>
      <c r="B92" s="71"/>
      <c r="C92" s="70"/>
      <c r="D92" s="125"/>
      <c r="E92" s="70"/>
      <c r="F92" s="70"/>
      <c r="G92" s="70"/>
      <c r="H92" s="70"/>
      <c r="I92" s="70"/>
      <c r="J92" s="70"/>
      <c r="K92" s="70"/>
      <c r="L92" s="70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</row>
    <row r="93" ht="14.25" customHeight="1">
      <c r="A93" s="71"/>
      <c r="B93" s="71"/>
      <c r="C93" s="70"/>
      <c r="D93" s="125"/>
      <c r="E93" s="70"/>
      <c r="F93" s="70"/>
      <c r="G93" s="70"/>
      <c r="H93" s="70"/>
      <c r="I93" s="70"/>
      <c r="J93" s="70"/>
      <c r="K93" s="70"/>
      <c r="L93" s="70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</row>
    <row r="94" ht="14.25" customHeight="1">
      <c r="A94" s="71"/>
      <c r="B94" s="71"/>
      <c r="C94" s="70"/>
      <c r="D94" s="125"/>
      <c r="E94" s="70"/>
      <c r="F94" s="70"/>
      <c r="G94" s="70"/>
      <c r="H94" s="70"/>
      <c r="I94" s="70"/>
      <c r="J94" s="70"/>
      <c r="K94" s="70"/>
      <c r="L94" s="70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</row>
    <row r="95" ht="14.25" customHeight="1">
      <c r="A95" s="71"/>
      <c r="B95" s="71"/>
      <c r="C95" s="70"/>
      <c r="D95" s="125"/>
      <c r="E95" s="70"/>
      <c r="F95" s="70"/>
      <c r="G95" s="70"/>
      <c r="H95" s="70"/>
      <c r="I95" s="70"/>
      <c r="J95" s="70"/>
      <c r="K95" s="70"/>
      <c r="L95" s="70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</row>
    <row r="96" ht="14.25" customHeight="1">
      <c r="A96" s="71"/>
      <c r="B96" s="71"/>
      <c r="C96" s="70"/>
      <c r="D96" s="125"/>
      <c r="E96" s="70"/>
      <c r="F96" s="70"/>
      <c r="G96" s="70"/>
      <c r="H96" s="70"/>
      <c r="I96" s="70"/>
      <c r="J96" s="70"/>
      <c r="K96" s="70"/>
      <c r="L96" s="70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</row>
    <row r="97" ht="14.25" customHeight="1">
      <c r="A97" s="71"/>
      <c r="B97" s="71"/>
      <c r="C97" s="70"/>
      <c r="D97" s="125"/>
      <c r="E97" s="70"/>
      <c r="F97" s="70"/>
      <c r="G97" s="70"/>
      <c r="H97" s="70"/>
      <c r="I97" s="70"/>
      <c r="J97" s="70"/>
      <c r="K97" s="70"/>
      <c r="L97" s="70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</row>
    <row r="98" ht="14.25" customHeight="1">
      <c r="A98" s="71"/>
      <c r="B98" s="71"/>
      <c r="C98" s="70"/>
      <c r="D98" s="125"/>
      <c r="E98" s="70"/>
      <c r="F98" s="70"/>
      <c r="G98" s="70"/>
      <c r="H98" s="70"/>
      <c r="I98" s="70"/>
      <c r="J98" s="70"/>
      <c r="K98" s="70"/>
      <c r="L98" s="70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</row>
    <row r="99" ht="14.25" customHeight="1">
      <c r="A99" s="71"/>
      <c r="B99" s="71"/>
      <c r="C99" s="70"/>
      <c r="D99" s="125"/>
      <c r="E99" s="70"/>
      <c r="F99" s="70"/>
      <c r="G99" s="70"/>
      <c r="H99" s="70"/>
      <c r="I99" s="70"/>
      <c r="J99" s="70"/>
      <c r="K99" s="70"/>
      <c r="L99" s="70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</row>
    <row r="100" ht="14.25" customHeight="1">
      <c r="A100" s="71"/>
      <c r="B100" s="71"/>
      <c r="C100" s="70"/>
      <c r="D100" s="125"/>
      <c r="E100" s="70"/>
      <c r="F100" s="70"/>
      <c r="G100" s="70"/>
      <c r="H100" s="70"/>
      <c r="I100" s="70"/>
      <c r="J100" s="70"/>
      <c r="K100" s="70"/>
      <c r="L100" s="70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</row>
    <row r="101" ht="14.25" customHeight="1">
      <c r="A101" s="71"/>
      <c r="B101" s="71"/>
      <c r="C101" s="70"/>
      <c r="D101" s="125"/>
      <c r="E101" s="70"/>
      <c r="F101" s="70"/>
      <c r="G101" s="70"/>
      <c r="H101" s="70"/>
      <c r="I101" s="70"/>
      <c r="J101" s="70"/>
      <c r="K101" s="70"/>
      <c r="L101" s="70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</row>
    <row r="102" ht="14.25" customHeight="1">
      <c r="A102" s="71"/>
      <c r="B102" s="71"/>
      <c r="C102" s="70"/>
      <c r="D102" s="125"/>
      <c r="E102" s="70"/>
      <c r="F102" s="70"/>
      <c r="G102" s="70"/>
      <c r="H102" s="70"/>
      <c r="I102" s="70"/>
      <c r="J102" s="70"/>
      <c r="K102" s="70"/>
      <c r="L102" s="70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</row>
    <row r="103" ht="14.25" customHeight="1">
      <c r="A103" s="71"/>
      <c r="B103" s="71"/>
      <c r="C103" s="70"/>
      <c r="D103" s="125"/>
      <c r="E103" s="70"/>
      <c r="F103" s="70"/>
      <c r="G103" s="70"/>
      <c r="H103" s="70"/>
      <c r="I103" s="70"/>
      <c r="J103" s="70"/>
      <c r="K103" s="70"/>
      <c r="L103" s="70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</row>
    <row r="104" ht="14.25" customHeight="1">
      <c r="A104" s="71"/>
      <c r="B104" s="71"/>
      <c r="C104" s="70"/>
      <c r="D104" s="125"/>
      <c r="E104" s="70"/>
      <c r="F104" s="70"/>
      <c r="G104" s="70"/>
      <c r="H104" s="70"/>
      <c r="I104" s="70"/>
      <c r="J104" s="70"/>
      <c r="K104" s="70"/>
      <c r="L104" s="70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</row>
    <row r="105" ht="14.25" customHeight="1">
      <c r="A105" s="71"/>
      <c r="B105" s="71"/>
      <c r="C105" s="70"/>
      <c r="D105" s="125"/>
      <c r="E105" s="70"/>
      <c r="F105" s="70"/>
      <c r="G105" s="70"/>
      <c r="H105" s="70"/>
      <c r="I105" s="70"/>
      <c r="J105" s="70"/>
      <c r="K105" s="70"/>
      <c r="L105" s="70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</row>
    <row r="106" ht="14.25" customHeight="1">
      <c r="A106" s="71"/>
      <c r="B106" s="71"/>
      <c r="C106" s="70"/>
      <c r="D106" s="125"/>
      <c r="E106" s="70"/>
      <c r="F106" s="70"/>
      <c r="G106" s="70"/>
      <c r="H106" s="70"/>
      <c r="I106" s="70"/>
      <c r="J106" s="70"/>
      <c r="K106" s="70"/>
      <c r="L106" s="70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</row>
    <row r="107" ht="14.25" customHeight="1">
      <c r="A107" s="71"/>
      <c r="B107" s="71"/>
      <c r="C107" s="70"/>
      <c r="D107" s="125"/>
      <c r="E107" s="70"/>
      <c r="F107" s="70"/>
      <c r="G107" s="70"/>
      <c r="H107" s="70"/>
      <c r="I107" s="70"/>
      <c r="J107" s="70"/>
      <c r="K107" s="70"/>
      <c r="L107" s="70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</row>
    <row r="108" ht="14.25" customHeight="1">
      <c r="A108" s="71"/>
      <c r="B108" s="71"/>
      <c r="C108" s="70"/>
      <c r="D108" s="125"/>
      <c r="E108" s="70"/>
      <c r="F108" s="70"/>
      <c r="G108" s="70"/>
      <c r="H108" s="70"/>
      <c r="I108" s="70"/>
      <c r="J108" s="70"/>
      <c r="K108" s="70"/>
      <c r="L108" s="70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</row>
    <row r="109" ht="14.25" customHeight="1">
      <c r="A109" s="71"/>
      <c r="B109" s="71"/>
      <c r="C109" s="70"/>
      <c r="D109" s="125"/>
      <c r="E109" s="70"/>
      <c r="F109" s="70"/>
      <c r="G109" s="70"/>
      <c r="H109" s="70"/>
      <c r="I109" s="70"/>
      <c r="J109" s="70"/>
      <c r="K109" s="70"/>
      <c r="L109" s="70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</row>
    <row r="110" ht="14.25" customHeight="1">
      <c r="A110" s="71"/>
      <c r="B110" s="71"/>
      <c r="C110" s="70"/>
      <c r="D110" s="125"/>
      <c r="E110" s="70"/>
      <c r="F110" s="70"/>
      <c r="G110" s="70"/>
      <c r="H110" s="70"/>
      <c r="I110" s="70"/>
      <c r="J110" s="70"/>
      <c r="K110" s="70"/>
      <c r="L110" s="70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</row>
    <row r="111" ht="14.25" customHeight="1">
      <c r="A111" s="71"/>
      <c r="B111" s="71"/>
      <c r="C111" s="70"/>
      <c r="D111" s="125"/>
      <c r="E111" s="70"/>
      <c r="F111" s="70"/>
      <c r="G111" s="70"/>
      <c r="H111" s="70"/>
      <c r="I111" s="70"/>
      <c r="J111" s="70"/>
      <c r="K111" s="70"/>
      <c r="L111" s="70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</row>
    <row r="112" ht="14.25" customHeight="1">
      <c r="A112" s="71"/>
      <c r="B112" s="71"/>
      <c r="C112" s="70"/>
      <c r="D112" s="125"/>
      <c r="E112" s="70"/>
      <c r="F112" s="70"/>
      <c r="G112" s="70"/>
      <c r="H112" s="70"/>
      <c r="I112" s="70"/>
      <c r="J112" s="70"/>
      <c r="K112" s="70"/>
      <c r="L112" s="70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</row>
    <row r="113" ht="14.25" customHeight="1">
      <c r="A113" s="71"/>
      <c r="B113" s="71"/>
      <c r="C113" s="70"/>
      <c r="D113" s="125"/>
      <c r="E113" s="70"/>
      <c r="F113" s="70"/>
      <c r="G113" s="70"/>
      <c r="H113" s="70"/>
      <c r="I113" s="70"/>
      <c r="J113" s="70"/>
      <c r="K113" s="70"/>
      <c r="L113" s="70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</row>
    <row r="114" ht="14.25" customHeight="1">
      <c r="A114" s="71"/>
      <c r="B114" s="71"/>
      <c r="C114" s="70"/>
      <c r="D114" s="125"/>
      <c r="E114" s="70"/>
      <c r="F114" s="70"/>
      <c r="G114" s="70"/>
      <c r="H114" s="70"/>
      <c r="I114" s="70"/>
      <c r="J114" s="70"/>
      <c r="K114" s="70"/>
      <c r="L114" s="70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</row>
    <row r="115" ht="14.25" customHeight="1">
      <c r="A115" s="71"/>
      <c r="B115" s="71"/>
      <c r="C115" s="70"/>
      <c r="D115" s="125"/>
      <c r="E115" s="70"/>
      <c r="F115" s="70"/>
      <c r="G115" s="70"/>
      <c r="H115" s="70"/>
      <c r="I115" s="70"/>
      <c r="J115" s="70"/>
      <c r="K115" s="70"/>
      <c r="L115" s="70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</row>
    <row r="116" ht="14.25" customHeight="1">
      <c r="A116" s="71"/>
      <c r="B116" s="71"/>
      <c r="C116" s="70"/>
      <c r="D116" s="125"/>
      <c r="E116" s="70"/>
      <c r="F116" s="70"/>
      <c r="G116" s="70"/>
      <c r="H116" s="70"/>
      <c r="I116" s="70"/>
      <c r="J116" s="70"/>
      <c r="K116" s="70"/>
      <c r="L116" s="70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</row>
    <row r="117" ht="14.25" customHeight="1">
      <c r="A117" s="71"/>
      <c r="B117" s="71"/>
      <c r="C117" s="70"/>
      <c r="D117" s="125"/>
      <c r="E117" s="70"/>
      <c r="F117" s="70"/>
      <c r="G117" s="70"/>
      <c r="H117" s="70"/>
      <c r="I117" s="70"/>
      <c r="J117" s="70"/>
      <c r="K117" s="70"/>
      <c r="L117" s="70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</row>
    <row r="118" ht="14.25" customHeight="1">
      <c r="A118" s="71"/>
      <c r="B118" s="71"/>
      <c r="C118" s="70"/>
      <c r="D118" s="125"/>
      <c r="E118" s="70"/>
      <c r="F118" s="70"/>
      <c r="G118" s="70"/>
      <c r="H118" s="70"/>
      <c r="I118" s="70"/>
      <c r="J118" s="70"/>
      <c r="K118" s="70"/>
      <c r="L118" s="70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</row>
    <row r="119" ht="14.25" customHeight="1">
      <c r="A119" s="71"/>
      <c r="B119" s="71"/>
      <c r="C119" s="70"/>
      <c r="D119" s="125"/>
      <c r="E119" s="70"/>
      <c r="F119" s="70"/>
      <c r="G119" s="70"/>
      <c r="H119" s="70"/>
      <c r="I119" s="70"/>
      <c r="J119" s="70"/>
      <c r="K119" s="70"/>
      <c r="L119" s="70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</row>
    <row r="120" ht="14.25" customHeight="1">
      <c r="A120" s="71"/>
      <c r="B120" s="71"/>
      <c r="C120" s="70"/>
      <c r="D120" s="125"/>
      <c r="E120" s="70"/>
      <c r="F120" s="70"/>
      <c r="G120" s="70"/>
      <c r="H120" s="70"/>
      <c r="I120" s="70"/>
      <c r="J120" s="70"/>
      <c r="K120" s="70"/>
      <c r="L120" s="70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</row>
    <row r="121" ht="14.25" customHeight="1">
      <c r="A121" s="71"/>
      <c r="B121" s="71"/>
      <c r="C121" s="70"/>
      <c r="D121" s="125"/>
      <c r="E121" s="70"/>
      <c r="F121" s="70"/>
      <c r="G121" s="70"/>
      <c r="H121" s="70"/>
      <c r="I121" s="70"/>
      <c r="J121" s="70"/>
      <c r="K121" s="70"/>
      <c r="L121" s="70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</row>
    <row r="122" ht="14.25" customHeight="1">
      <c r="A122" s="71"/>
      <c r="B122" s="71"/>
      <c r="C122" s="70"/>
      <c r="D122" s="125"/>
      <c r="E122" s="70"/>
      <c r="F122" s="70"/>
      <c r="G122" s="70"/>
      <c r="H122" s="70"/>
      <c r="I122" s="70"/>
      <c r="J122" s="70"/>
      <c r="K122" s="70"/>
      <c r="L122" s="70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</row>
    <row r="123" ht="14.25" customHeight="1">
      <c r="A123" s="71"/>
      <c r="B123" s="71"/>
      <c r="C123" s="70"/>
      <c r="D123" s="125"/>
      <c r="E123" s="70"/>
      <c r="F123" s="70"/>
      <c r="G123" s="70"/>
      <c r="H123" s="70"/>
      <c r="I123" s="70"/>
      <c r="J123" s="70"/>
      <c r="K123" s="70"/>
      <c r="L123" s="70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</row>
    <row r="124" ht="14.25" customHeight="1">
      <c r="A124" s="71"/>
      <c r="B124" s="71"/>
      <c r="C124" s="70"/>
      <c r="D124" s="125"/>
      <c r="E124" s="70"/>
      <c r="F124" s="70"/>
      <c r="G124" s="70"/>
      <c r="H124" s="70"/>
      <c r="I124" s="70"/>
      <c r="J124" s="70"/>
      <c r="K124" s="70"/>
      <c r="L124" s="70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</row>
    <row r="125" ht="14.25" customHeight="1">
      <c r="A125" s="71"/>
      <c r="B125" s="71"/>
      <c r="C125" s="70"/>
      <c r="D125" s="125"/>
      <c r="E125" s="70"/>
      <c r="F125" s="70"/>
      <c r="G125" s="70"/>
      <c r="H125" s="70"/>
      <c r="I125" s="70"/>
      <c r="J125" s="70"/>
      <c r="K125" s="70"/>
      <c r="L125" s="70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</row>
    <row r="126" ht="14.25" customHeight="1">
      <c r="A126" s="71"/>
      <c r="B126" s="71"/>
      <c r="C126" s="70"/>
      <c r="D126" s="125"/>
      <c r="E126" s="70"/>
      <c r="F126" s="70"/>
      <c r="G126" s="70"/>
      <c r="H126" s="70"/>
      <c r="I126" s="70"/>
      <c r="J126" s="70"/>
      <c r="K126" s="70"/>
      <c r="L126" s="70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</row>
    <row r="127" ht="14.25" customHeight="1">
      <c r="A127" s="71"/>
      <c r="B127" s="71"/>
      <c r="C127" s="70"/>
      <c r="D127" s="125"/>
      <c r="E127" s="70"/>
      <c r="F127" s="70"/>
      <c r="G127" s="70"/>
      <c r="H127" s="70"/>
      <c r="I127" s="70"/>
      <c r="J127" s="70"/>
      <c r="K127" s="70"/>
      <c r="L127" s="70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</row>
    <row r="128" ht="14.25" customHeight="1">
      <c r="A128" s="71"/>
      <c r="B128" s="71"/>
      <c r="C128" s="70"/>
      <c r="D128" s="125"/>
      <c r="E128" s="70"/>
      <c r="F128" s="70"/>
      <c r="G128" s="70"/>
      <c r="H128" s="70"/>
      <c r="I128" s="70"/>
      <c r="J128" s="70"/>
      <c r="K128" s="70"/>
      <c r="L128" s="70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</row>
    <row r="129" ht="14.25" customHeight="1">
      <c r="A129" s="71"/>
      <c r="B129" s="71"/>
      <c r="C129" s="70"/>
      <c r="D129" s="125"/>
      <c r="E129" s="70"/>
      <c r="F129" s="70"/>
      <c r="G129" s="70"/>
      <c r="H129" s="70"/>
      <c r="I129" s="70"/>
      <c r="J129" s="70"/>
      <c r="K129" s="70"/>
      <c r="L129" s="70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</row>
    <row r="130" ht="14.25" customHeight="1">
      <c r="A130" s="71"/>
      <c r="B130" s="71"/>
      <c r="C130" s="70"/>
      <c r="D130" s="125"/>
      <c r="E130" s="70"/>
      <c r="F130" s="70"/>
      <c r="G130" s="70"/>
      <c r="H130" s="70"/>
      <c r="I130" s="70"/>
      <c r="J130" s="70"/>
      <c r="K130" s="70"/>
      <c r="L130" s="70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</row>
    <row r="131" ht="14.25" customHeight="1">
      <c r="A131" s="71"/>
      <c r="B131" s="71"/>
      <c r="C131" s="70"/>
      <c r="D131" s="125"/>
      <c r="E131" s="70"/>
      <c r="F131" s="70"/>
      <c r="G131" s="70"/>
      <c r="H131" s="70"/>
      <c r="I131" s="70"/>
      <c r="J131" s="70"/>
      <c r="K131" s="70"/>
      <c r="L131" s="70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</row>
    <row r="132" ht="14.25" customHeight="1">
      <c r="A132" s="71"/>
      <c r="B132" s="71"/>
      <c r="C132" s="70"/>
      <c r="D132" s="125"/>
      <c r="E132" s="70"/>
      <c r="F132" s="70"/>
      <c r="G132" s="70"/>
      <c r="H132" s="70"/>
      <c r="I132" s="70"/>
      <c r="J132" s="70"/>
      <c r="K132" s="70"/>
      <c r="L132" s="70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</row>
    <row r="133" ht="14.25" customHeight="1">
      <c r="A133" s="71"/>
      <c r="B133" s="71"/>
      <c r="C133" s="70"/>
      <c r="D133" s="125"/>
      <c r="E133" s="70"/>
      <c r="F133" s="70"/>
      <c r="G133" s="70"/>
      <c r="H133" s="70"/>
      <c r="I133" s="70"/>
      <c r="J133" s="70"/>
      <c r="K133" s="70"/>
      <c r="L133" s="70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</row>
    <row r="134" ht="14.25" customHeight="1">
      <c r="A134" s="71"/>
      <c r="B134" s="71"/>
      <c r="C134" s="70"/>
      <c r="D134" s="125"/>
      <c r="E134" s="70"/>
      <c r="F134" s="70"/>
      <c r="G134" s="70"/>
      <c r="H134" s="70"/>
      <c r="I134" s="70"/>
      <c r="J134" s="70"/>
      <c r="K134" s="70"/>
      <c r="L134" s="70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</row>
    <row r="135" ht="14.25" customHeight="1">
      <c r="A135" s="71"/>
      <c r="B135" s="71"/>
      <c r="C135" s="70"/>
      <c r="D135" s="125"/>
      <c r="E135" s="70"/>
      <c r="F135" s="70"/>
      <c r="G135" s="70"/>
      <c r="H135" s="70"/>
      <c r="I135" s="70"/>
      <c r="J135" s="70"/>
      <c r="K135" s="70"/>
      <c r="L135" s="70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</row>
    <row r="136" ht="14.25" customHeight="1">
      <c r="A136" s="71"/>
      <c r="B136" s="71"/>
      <c r="C136" s="70"/>
      <c r="D136" s="125"/>
      <c r="E136" s="70"/>
      <c r="F136" s="70"/>
      <c r="G136" s="70"/>
      <c r="H136" s="70"/>
      <c r="I136" s="70"/>
      <c r="J136" s="70"/>
      <c r="K136" s="70"/>
      <c r="L136" s="70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</row>
    <row r="137" ht="14.25" customHeight="1">
      <c r="A137" s="71"/>
      <c r="B137" s="71"/>
      <c r="C137" s="70"/>
      <c r="D137" s="125"/>
      <c r="E137" s="70"/>
      <c r="F137" s="70"/>
      <c r="G137" s="70"/>
      <c r="H137" s="70"/>
      <c r="I137" s="70"/>
      <c r="J137" s="70"/>
      <c r="K137" s="70"/>
      <c r="L137" s="70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</row>
    <row r="138" ht="14.25" customHeight="1">
      <c r="A138" s="71"/>
      <c r="B138" s="71"/>
      <c r="C138" s="70"/>
      <c r="D138" s="125"/>
      <c r="E138" s="70"/>
      <c r="F138" s="70"/>
      <c r="G138" s="70"/>
      <c r="H138" s="70"/>
      <c r="I138" s="70"/>
      <c r="J138" s="70"/>
      <c r="K138" s="70"/>
      <c r="L138" s="70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</row>
    <row r="139" ht="14.25" customHeight="1">
      <c r="A139" s="71"/>
      <c r="B139" s="71"/>
      <c r="C139" s="70"/>
      <c r="D139" s="125"/>
      <c r="E139" s="70"/>
      <c r="F139" s="70"/>
      <c r="G139" s="70"/>
      <c r="H139" s="70"/>
      <c r="I139" s="70"/>
      <c r="J139" s="70"/>
      <c r="K139" s="70"/>
      <c r="L139" s="70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</row>
    <row r="140" ht="14.25" customHeight="1">
      <c r="A140" s="71"/>
      <c r="B140" s="71"/>
      <c r="C140" s="70"/>
      <c r="D140" s="125"/>
      <c r="E140" s="70"/>
      <c r="F140" s="70"/>
      <c r="G140" s="70"/>
      <c r="H140" s="70"/>
      <c r="I140" s="70"/>
      <c r="J140" s="70"/>
      <c r="K140" s="70"/>
      <c r="L140" s="70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</row>
    <row r="141" ht="14.25" customHeight="1">
      <c r="A141" s="71"/>
      <c r="B141" s="71"/>
      <c r="C141" s="70"/>
      <c r="D141" s="125"/>
      <c r="E141" s="70"/>
      <c r="F141" s="70"/>
      <c r="G141" s="70"/>
      <c r="H141" s="70"/>
      <c r="I141" s="70"/>
      <c r="J141" s="70"/>
      <c r="K141" s="70"/>
      <c r="L141" s="70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</row>
    <row r="142" ht="14.25" customHeight="1">
      <c r="A142" s="71"/>
      <c r="B142" s="71"/>
      <c r="C142" s="70"/>
      <c r="D142" s="125"/>
      <c r="E142" s="70"/>
      <c r="F142" s="70"/>
      <c r="G142" s="70"/>
      <c r="H142" s="70"/>
      <c r="I142" s="70"/>
      <c r="J142" s="70"/>
      <c r="K142" s="70"/>
      <c r="L142" s="70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</row>
    <row r="143" ht="14.25" customHeight="1">
      <c r="A143" s="71"/>
      <c r="B143" s="71"/>
      <c r="C143" s="70"/>
      <c r="D143" s="125"/>
      <c r="E143" s="70"/>
      <c r="F143" s="70"/>
      <c r="G143" s="70"/>
      <c r="H143" s="70"/>
      <c r="I143" s="70"/>
      <c r="J143" s="70"/>
      <c r="K143" s="70"/>
      <c r="L143" s="70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</row>
    <row r="144" ht="14.25" customHeight="1">
      <c r="A144" s="71"/>
      <c r="B144" s="71"/>
      <c r="C144" s="70"/>
      <c r="D144" s="125"/>
      <c r="E144" s="70"/>
      <c r="F144" s="70"/>
      <c r="G144" s="70"/>
      <c r="H144" s="70"/>
      <c r="I144" s="70"/>
      <c r="J144" s="70"/>
      <c r="K144" s="70"/>
      <c r="L144" s="70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</row>
    <row r="145" ht="14.25" customHeight="1">
      <c r="A145" s="71"/>
      <c r="B145" s="71"/>
      <c r="C145" s="70"/>
      <c r="D145" s="125"/>
      <c r="E145" s="70"/>
      <c r="F145" s="70"/>
      <c r="G145" s="70"/>
      <c r="H145" s="70"/>
      <c r="I145" s="70"/>
      <c r="J145" s="70"/>
      <c r="K145" s="70"/>
      <c r="L145" s="70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</row>
    <row r="146" ht="14.25" customHeight="1">
      <c r="A146" s="71"/>
      <c r="B146" s="71"/>
      <c r="C146" s="70"/>
      <c r="D146" s="125"/>
      <c r="E146" s="70"/>
      <c r="F146" s="70"/>
      <c r="G146" s="70"/>
      <c r="H146" s="70"/>
      <c r="I146" s="70"/>
      <c r="J146" s="70"/>
      <c r="K146" s="70"/>
      <c r="L146" s="70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</row>
    <row r="147" ht="14.25" customHeight="1">
      <c r="A147" s="71"/>
      <c r="B147" s="71"/>
      <c r="C147" s="70"/>
      <c r="D147" s="125"/>
      <c r="E147" s="70"/>
      <c r="F147" s="70"/>
      <c r="G147" s="70"/>
      <c r="H147" s="70"/>
      <c r="I147" s="70"/>
      <c r="J147" s="70"/>
      <c r="K147" s="70"/>
      <c r="L147" s="70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</row>
    <row r="148" ht="14.25" customHeight="1">
      <c r="A148" s="71"/>
      <c r="B148" s="71"/>
      <c r="C148" s="70"/>
      <c r="D148" s="125"/>
      <c r="E148" s="70"/>
      <c r="F148" s="70"/>
      <c r="G148" s="70"/>
      <c r="H148" s="70"/>
      <c r="I148" s="70"/>
      <c r="J148" s="70"/>
      <c r="K148" s="70"/>
      <c r="L148" s="70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</row>
    <row r="149" ht="14.25" customHeight="1">
      <c r="A149" s="71"/>
      <c r="B149" s="71"/>
      <c r="C149" s="70"/>
      <c r="D149" s="125"/>
      <c r="E149" s="70"/>
      <c r="F149" s="70"/>
      <c r="G149" s="70"/>
      <c r="H149" s="70"/>
      <c r="I149" s="70"/>
      <c r="J149" s="70"/>
      <c r="K149" s="70"/>
      <c r="L149" s="70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</row>
    <row r="150" ht="14.25" customHeight="1">
      <c r="A150" s="71"/>
      <c r="B150" s="71"/>
      <c r="C150" s="70"/>
      <c r="D150" s="125"/>
      <c r="E150" s="70"/>
      <c r="F150" s="70"/>
      <c r="G150" s="70"/>
      <c r="H150" s="70"/>
      <c r="I150" s="70"/>
      <c r="J150" s="70"/>
      <c r="K150" s="70"/>
      <c r="L150" s="70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</row>
    <row r="151" ht="14.25" customHeight="1">
      <c r="A151" s="71"/>
      <c r="B151" s="71"/>
      <c r="C151" s="70"/>
      <c r="D151" s="125"/>
      <c r="E151" s="70"/>
      <c r="F151" s="70"/>
      <c r="G151" s="70"/>
      <c r="H151" s="70"/>
      <c r="I151" s="70"/>
      <c r="J151" s="70"/>
      <c r="K151" s="70"/>
      <c r="L151" s="70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</row>
    <row r="152" ht="14.25" customHeight="1">
      <c r="A152" s="71"/>
      <c r="B152" s="71"/>
      <c r="C152" s="70"/>
      <c r="D152" s="125"/>
      <c r="E152" s="70"/>
      <c r="F152" s="70"/>
      <c r="G152" s="70"/>
      <c r="H152" s="70"/>
      <c r="I152" s="70"/>
      <c r="J152" s="70"/>
      <c r="K152" s="70"/>
      <c r="L152" s="70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</row>
    <row r="153" ht="14.25" customHeight="1">
      <c r="A153" s="71"/>
      <c r="B153" s="71"/>
      <c r="C153" s="70"/>
      <c r="D153" s="125"/>
      <c r="E153" s="70"/>
      <c r="F153" s="70"/>
      <c r="G153" s="70"/>
      <c r="H153" s="70"/>
      <c r="I153" s="70"/>
      <c r="J153" s="70"/>
      <c r="K153" s="70"/>
      <c r="L153" s="70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</row>
    <row r="154" ht="14.25" customHeight="1">
      <c r="A154" s="71"/>
      <c r="B154" s="71"/>
      <c r="C154" s="70"/>
      <c r="D154" s="125"/>
      <c r="E154" s="70"/>
      <c r="F154" s="70"/>
      <c r="G154" s="70"/>
      <c r="H154" s="70"/>
      <c r="I154" s="70"/>
      <c r="J154" s="70"/>
      <c r="K154" s="70"/>
      <c r="L154" s="70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</row>
    <row r="155" ht="14.25" customHeight="1">
      <c r="A155" s="71"/>
      <c r="B155" s="71"/>
      <c r="C155" s="70"/>
      <c r="D155" s="125"/>
      <c r="E155" s="70"/>
      <c r="F155" s="70"/>
      <c r="G155" s="70"/>
      <c r="H155" s="70"/>
      <c r="I155" s="70"/>
      <c r="J155" s="70"/>
      <c r="K155" s="70"/>
      <c r="L155" s="70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</row>
    <row r="156" ht="14.25" customHeight="1">
      <c r="A156" s="71"/>
      <c r="B156" s="71"/>
      <c r="C156" s="70"/>
      <c r="D156" s="125"/>
      <c r="E156" s="70"/>
      <c r="F156" s="70"/>
      <c r="G156" s="70"/>
      <c r="H156" s="70"/>
      <c r="I156" s="70"/>
      <c r="J156" s="70"/>
      <c r="K156" s="70"/>
      <c r="L156" s="70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</row>
    <row r="157" ht="14.25" customHeight="1">
      <c r="A157" s="71"/>
      <c r="B157" s="71"/>
      <c r="C157" s="70"/>
      <c r="D157" s="125"/>
      <c r="E157" s="70"/>
      <c r="F157" s="70"/>
      <c r="G157" s="70"/>
      <c r="H157" s="70"/>
      <c r="I157" s="70"/>
      <c r="J157" s="70"/>
      <c r="K157" s="70"/>
      <c r="L157" s="70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</row>
    <row r="158" ht="14.25" customHeight="1">
      <c r="A158" s="71"/>
      <c r="B158" s="71"/>
      <c r="C158" s="70"/>
      <c r="D158" s="125"/>
      <c r="E158" s="70"/>
      <c r="F158" s="70"/>
      <c r="G158" s="70"/>
      <c r="H158" s="70"/>
      <c r="I158" s="70"/>
      <c r="J158" s="70"/>
      <c r="K158" s="70"/>
      <c r="L158" s="70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</row>
    <row r="159" ht="14.25" customHeight="1">
      <c r="A159" s="71"/>
      <c r="B159" s="71"/>
      <c r="C159" s="70"/>
      <c r="D159" s="125"/>
      <c r="E159" s="70"/>
      <c r="F159" s="70"/>
      <c r="G159" s="70"/>
      <c r="H159" s="70"/>
      <c r="I159" s="70"/>
      <c r="J159" s="70"/>
      <c r="K159" s="70"/>
      <c r="L159" s="70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</row>
    <row r="160" ht="14.25" customHeight="1">
      <c r="A160" s="71"/>
      <c r="B160" s="71"/>
      <c r="C160" s="70"/>
      <c r="D160" s="125"/>
      <c r="E160" s="70"/>
      <c r="F160" s="70"/>
      <c r="G160" s="70"/>
      <c r="H160" s="70"/>
      <c r="I160" s="70"/>
      <c r="J160" s="70"/>
      <c r="K160" s="70"/>
      <c r="L160" s="70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</row>
    <row r="161" ht="14.25" customHeight="1">
      <c r="A161" s="71"/>
      <c r="B161" s="71"/>
      <c r="C161" s="70"/>
      <c r="D161" s="125"/>
      <c r="E161" s="70"/>
      <c r="F161" s="70"/>
      <c r="G161" s="70"/>
      <c r="H161" s="70"/>
      <c r="I161" s="70"/>
      <c r="J161" s="70"/>
      <c r="K161" s="70"/>
      <c r="L161" s="70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</row>
    <row r="162" ht="14.25" customHeight="1">
      <c r="A162" s="71"/>
      <c r="B162" s="71"/>
      <c r="C162" s="70"/>
      <c r="D162" s="125"/>
      <c r="E162" s="70"/>
      <c r="F162" s="70"/>
      <c r="G162" s="70"/>
      <c r="H162" s="70"/>
      <c r="I162" s="70"/>
      <c r="J162" s="70"/>
      <c r="K162" s="70"/>
      <c r="L162" s="70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</row>
    <row r="163" ht="14.25" customHeight="1">
      <c r="A163" s="71"/>
      <c r="B163" s="71"/>
      <c r="C163" s="70"/>
      <c r="D163" s="125"/>
      <c r="E163" s="70"/>
      <c r="F163" s="70"/>
      <c r="G163" s="70"/>
      <c r="H163" s="70"/>
      <c r="I163" s="70"/>
      <c r="J163" s="70"/>
      <c r="K163" s="70"/>
      <c r="L163" s="70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</row>
    <row r="164" ht="14.25" customHeight="1">
      <c r="A164" s="71"/>
      <c r="B164" s="71"/>
      <c r="C164" s="70"/>
      <c r="D164" s="125"/>
      <c r="E164" s="70"/>
      <c r="F164" s="70"/>
      <c r="G164" s="70"/>
      <c r="H164" s="70"/>
      <c r="I164" s="70"/>
      <c r="J164" s="70"/>
      <c r="K164" s="70"/>
      <c r="L164" s="70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</row>
    <row r="165" ht="14.25" customHeight="1">
      <c r="A165" s="71"/>
      <c r="B165" s="71"/>
      <c r="C165" s="70"/>
      <c r="D165" s="125"/>
      <c r="E165" s="70"/>
      <c r="F165" s="70"/>
      <c r="G165" s="70"/>
      <c r="H165" s="70"/>
      <c r="I165" s="70"/>
      <c r="J165" s="70"/>
      <c r="K165" s="70"/>
      <c r="L165" s="70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</row>
    <row r="166" ht="14.25" customHeight="1">
      <c r="A166" s="71"/>
      <c r="B166" s="71"/>
      <c r="C166" s="70"/>
      <c r="D166" s="125"/>
      <c r="E166" s="70"/>
      <c r="F166" s="70"/>
      <c r="G166" s="70"/>
      <c r="H166" s="70"/>
      <c r="I166" s="70"/>
      <c r="J166" s="70"/>
      <c r="K166" s="70"/>
      <c r="L166" s="70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</row>
    <row r="167" ht="14.25" customHeight="1">
      <c r="A167" s="71"/>
      <c r="B167" s="71"/>
      <c r="C167" s="70"/>
      <c r="D167" s="125"/>
      <c r="E167" s="70"/>
      <c r="F167" s="70"/>
      <c r="G167" s="70"/>
      <c r="H167" s="70"/>
      <c r="I167" s="70"/>
      <c r="J167" s="70"/>
      <c r="K167" s="70"/>
      <c r="L167" s="70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</row>
    <row r="168" ht="14.25" customHeight="1">
      <c r="A168" s="71"/>
      <c r="B168" s="71"/>
      <c r="C168" s="70"/>
      <c r="D168" s="125"/>
      <c r="E168" s="70"/>
      <c r="F168" s="70"/>
      <c r="G168" s="70"/>
      <c r="H168" s="70"/>
      <c r="I168" s="70"/>
      <c r="J168" s="70"/>
      <c r="K168" s="70"/>
      <c r="L168" s="70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</row>
    <row r="169" ht="14.25" customHeight="1">
      <c r="A169" s="71"/>
      <c r="B169" s="71"/>
      <c r="C169" s="70"/>
      <c r="D169" s="125"/>
      <c r="E169" s="70"/>
      <c r="F169" s="70"/>
      <c r="G169" s="70"/>
      <c r="H169" s="70"/>
      <c r="I169" s="70"/>
      <c r="J169" s="70"/>
      <c r="K169" s="70"/>
      <c r="L169" s="70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</row>
    <row r="170" ht="14.25" customHeight="1">
      <c r="A170" s="71"/>
      <c r="B170" s="71"/>
      <c r="C170" s="70"/>
      <c r="D170" s="125"/>
      <c r="E170" s="70"/>
      <c r="F170" s="70"/>
      <c r="G170" s="70"/>
      <c r="H170" s="70"/>
      <c r="I170" s="70"/>
      <c r="J170" s="70"/>
      <c r="K170" s="70"/>
      <c r="L170" s="70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</row>
    <row r="171" ht="14.25" customHeight="1">
      <c r="A171" s="71"/>
      <c r="B171" s="71"/>
      <c r="C171" s="70"/>
      <c r="D171" s="125"/>
      <c r="E171" s="70"/>
      <c r="F171" s="70"/>
      <c r="G171" s="70"/>
      <c r="H171" s="70"/>
      <c r="I171" s="70"/>
      <c r="J171" s="70"/>
      <c r="K171" s="70"/>
      <c r="L171" s="70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</row>
    <row r="172" ht="14.25" customHeight="1">
      <c r="A172" s="71"/>
      <c r="B172" s="71"/>
      <c r="C172" s="70"/>
      <c r="D172" s="125"/>
      <c r="E172" s="70"/>
      <c r="F172" s="70"/>
      <c r="G172" s="70"/>
      <c r="H172" s="70"/>
      <c r="I172" s="70"/>
      <c r="J172" s="70"/>
      <c r="K172" s="70"/>
      <c r="L172" s="70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</row>
    <row r="173" ht="14.25" customHeight="1">
      <c r="A173" s="71"/>
      <c r="B173" s="71"/>
      <c r="C173" s="70"/>
      <c r="D173" s="125"/>
      <c r="E173" s="70"/>
      <c r="F173" s="70"/>
      <c r="G173" s="70"/>
      <c r="H173" s="70"/>
      <c r="I173" s="70"/>
      <c r="J173" s="70"/>
      <c r="K173" s="70"/>
      <c r="L173" s="70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</row>
    <row r="174" ht="14.25" customHeight="1">
      <c r="A174" s="71"/>
      <c r="B174" s="71"/>
      <c r="C174" s="70"/>
      <c r="D174" s="125"/>
      <c r="E174" s="70"/>
      <c r="F174" s="70"/>
      <c r="G174" s="70"/>
      <c r="H174" s="70"/>
      <c r="I174" s="70"/>
      <c r="J174" s="70"/>
      <c r="K174" s="70"/>
      <c r="L174" s="70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</row>
    <row r="175" ht="14.25" customHeight="1">
      <c r="A175" s="71"/>
      <c r="B175" s="71"/>
      <c r="C175" s="70"/>
      <c r="D175" s="125"/>
      <c r="E175" s="70"/>
      <c r="F175" s="70"/>
      <c r="G175" s="70"/>
      <c r="H175" s="70"/>
      <c r="I175" s="70"/>
      <c r="J175" s="70"/>
      <c r="K175" s="70"/>
      <c r="L175" s="70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</row>
    <row r="176" ht="14.25" customHeight="1">
      <c r="A176" s="71"/>
      <c r="B176" s="71"/>
      <c r="C176" s="70"/>
      <c r="D176" s="125"/>
      <c r="E176" s="70"/>
      <c r="F176" s="70"/>
      <c r="G176" s="70"/>
      <c r="H176" s="70"/>
      <c r="I176" s="70"/>
      <c r="J176" s="70"/>
      <c r="K176" s="70"/>
      <c r="L176" s="70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</row>
    <row r="177" ht="14.25" customHeight="1">
      <c r="A177" s="71"/>
      <c r="B177" s="71"/>
      <c r="C177" s="70"/>
      <c r="D177" s="125"/>
      <c r="E177" s="70"/>
      <c r="F177" s="70"/>
      <c r="G177" s="70"/>
      <c r="H177" s="70"/>
      <c r="I177" s="70"/>
      <c r="J177" s="70"/>
      <c r="K177" s="70"/>
      <c r="L177" s="70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</row>
    <row r="178" ht="14.25" customHeight="1">
      <c r="A178" s="71"/>
      <c r="B178" s="71"/>
      <c r="C178" s="70"/>
      <c r="D178" s="125"/>
      <c r="E178" s="70"/>
      <c r="F178" s="70"/>
      <c r="G178" s="70"/>
      <c r="H178" s="70"/>
      <c r="I178" s="70"/>
      <c r="J178" s="70"/>
      <c r="K178" s="70"/>
      <c r="L178" s="70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</row>
    <row r="179" ht="14.25" customHeight="1">
      <c r="A179" s="71"/>
      <c r="B179" s="71"/>
      <c r="C179" s="70"/>
      <c r="D179" s="125"/>
      <c r="E179" s="70"/>
      <c r="F179" s="70"/>
      <c r="G179" s="70"/>
      <c r="H179" s="70"/>
      <c r="I179" s="70"/>
      <c r="J179" s="70"/>
      <c r="K179" s="70"/>
      <c r="L179" s="70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</row>
    <row r="180" ht="14.25" customHeight="1">
      <c r="A180" s="71"/>
      <c r="B180" s="71"/>
      <c r="C180" s="70"/>
      <c r="D180" s="125"/>
      <c r="E180" s="70"/>
      <c r="F180" s="70"/>
      <c r="G180" s="70"/>
      <c r="H180" s="70"/>
      <c r="I180" s="70"/>
      <c r="J180" s="70"/>
      <c r="K180" s="70"/>
      <c r="L180" s="70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</row>
    <row r="181" ht="14.25" customHeight="1">
      <c r="A181" s="71"/>
      <c r="B181" s="71"/>
      <c r="C181" s="70"/>
      <c r="D181" s="125"/>
      <c r="E181" s="70"/>
      <c r="F181" s="70"/>
      <c r="G181" s="70"/>
      <c r="H181" s="70"/>
      <c r="I181" s="70"/>
      <c r="J181" s="70"/>
      <c r="K181" s="70"/>
      <c r="L181" s="70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</row>
    <row r="182" ht="14.25" customHeight="1">
      <c r="A182" s="71"/>
      <c r="B182" s="71"/>
      <c r="C182" s="70"/>
      <c r="D182" s="125"/>
      <c r="E182" s="70"/>
      <c r="F182" s="70"/>
      <c r="G182" s="70"/>
      <c r="H182" s="70"/>
      <c r="I182" s="70"/>
      <c r="J182" s="70"/>
      <c r="K182" s="70"/>
      <c r="L182" s="70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</row>
    <row r="183" ht="14.25" customHeight="1">
      <c r="A183" s="71"/>
      <c r="B183" s="71"/>
      <c r="C183" s="70"/>
      <c r="D183" s="125"/>
      <c r="E183" s="70"/>
      <c r="F183" s="70"/>
      <c r="G183" s="70"/>
      <c r="H183" s="70"/>
      <c r="I183" s="70"/>
      <c r="J183" s="70"/>
      <c r="K183" s="70"/>
      <c r="L183" s="70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</row>
    <row r="184" ht="14.25" customHeight="1">
      <c r="A184" s="71"/>
      <c r="B184" s="71"/>
      <c r="C184" s="70"/>
      <c r="D184" s="125"/>
      <c r="E184" s="70"/>
      <c r="F184" s="70"/>
      <c r="G184" s="70"/>
      <c r="H184" s="70"/>
      <c r="I184" s="70"/>
      <c r="J184" s="70"/>
      <c r="K184" s="70"/>
      <c r="L184" s="70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</row>
    <row r="185" ht="14.25" customHeight="1">
      <c r="A185" s="71"/>
      <c r="B185" s="71"/>
      <c r="C185" s="70"/>
      <c r="D185" s="125"/>
      <c r="E185" s="70"/>
      <c r="F185" s="70"/>
      <c r="G185" s="70"/>
      <c r="H185" s="70"/>
      <c r="I185" s="70"/>
      <c r="J185" s="70"/>
      <c r="K185" s="70"/>
      <c r="L185" s="70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</row>
    <row r="186" ht="14.25" customHeight="1">
      <c r="A186" s="71"/>
      <c r="B186" s="71"/>
      <c r="C186" s="70"/>
      <c r="D186" s="125"/>
      <c r="E186" s="70"/>
      <c r="F186" s="70"/>
      <c r="G186" s="70"/>
      <c r="H186" s="70"/>
      <c r="I186" s="70"/>
      <c r="J186" s="70"/>
      <c r="K186" s="70"/>
      <c r="L186" s="70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</row>
    <row r="187" ht="14.25" customHeight="1">
      <c r="A187" s="71"/>
      <c r="B187" s="71"/>
      <c r="C187" s="70"/>
      <c r="D187" s="125"/>
      <c r="E187" s="70"/>
      <c r="F187" s="70"/>
      <c r="G187" s="70"/>
      <c r="H187" s="70"/>
      <c r="I187" s="70"/>
      <c r="J187" s="70"/>
      <c r="K187" s="70"/>
      <c r="L187" s="70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</row>
    <row r="188" ht="14.25" customHeight="1">
      <c r="A188" s="71"/>
      <c r="B188" s="71"/>
      <c r="C188" s="70"/>
      <c r="D188" s="125"/>
      <c r="E188" s="70"/>
      <c r="F188" s="70"/>
      <c r="G188" s="70"/>
      <c r="H188" s="70"/>
      <c r="I188" s="70"/>
      <c r="J188" s="70"/>
      <c r="K188" s="70"/>
      <c r="L188" s="70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</row>
    <row r="189" ht="14.25" customHeight="1">
      <c r="A189" s="71"/>
      <c r="B189" s="71"/>
      <c r="C189" s="70"/>
      <c r="D189" s="125"/>
      <c r="E189" s="70"/>
      <c r="F189" s="70"/>
      <c r="G189" s="70"/>
      <c r="H189" s="70"/>
      <c r="I189" s="70"/>
      <c r="J189" s="70"/>
      <c r="K189" s="70"/>
      <c r="L189" s="70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</row>
    <row r="190" ht="14.25" customHeight="1">
      <c r="A190" s="71"/>
      <c r="B190" s="71"/>
      <c r="C190" s="70"/>
      <c r="D190" s="125"/>
      <c r="E190" s="70"/>
      <c r="F190" s="70"/>
      <c r="G190" s="70"/>
      <c r="H190" s="70"/>
      <c r="I190" s="70"/>
      <c r="J190" s="70"/>
      <c r="K190" s="70"/>
      <c r="L190" s="70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</row>
    <row r="191" ht="14.25" customHeight="1">
      <c r="A191" s="71"/>
      <c r="B191" s="71"/>
      <c r="C191" s="70"/>
      <c r="D191" s="125"/>
      <c r="E191" s="70"/>
      <c r="F191" s="70"/>
      <c r="G191" s="70"/>
      <c r="H191" s="70"/>
      <c r="I191" s="70"/>
      <c r="J191" s="70"/>
      <c r="K191" s="70"/>
      <c r="L191" s="70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</row>
    <row r="192" ht="14.25" customHeight="1">
      <c r="A192" s="71"/>
      <c r="B192" s="71"/>
      <c r="C192" s="70"/>
      <c r="D192" s="125"/>
      <c r="E192" s="70"/>
      <c r="F192" s="70"/>
      <c r="G192" s="70"/>
      <c r="H192" s="70"/>
      <c r="I192" s="70"/>
      <c r="J192" s="70"/>
      <c r="K192" s="70"/>
      <c r="L192" s="70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</row>
    <row r="193" ht="14.25" customHeight="1">
      <c r="A193" s="71"/>
      <c r="B193" s="71"/>
      <c r="C193" s="70"/>
      <c r="D193" s="125"/>
      <c r="E193" s="70"/>
      <c r="F193" s="70"/>
      <c r="G193" s="70"/>
      <c r="H193" s="70"/>
      <c r="I193" s="70"/>
      <c r="J193" s="70"/>
      <c r="K193" s="70"/>
      <c r="L193" s="70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</row>
    <row r="194" ht="14.25" customHeight="1">
      <c r="A194" s="71"/>
      <c r="B194" s="71"/>
      <c r="C194" s="70"/>
      <c r="D194" s="125"/>
      <c r="E194" s="70"/>
      <c r="F194" s="70"/>
      <c r="G194" s="70"/>
      <c r="H194" s="70"/>
      <c r="I194" s="70"/>
      <c r="J194" s="70"/>
      <c r="K194" s="70"/>
      <c r="L194" s="70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</row>
    <row r="195" ht="14.25" customHeight="1">
      <c r="A195" s="71"/>
      <c r="B195" s="71"/>
      <c r="C195" s="70"/>
      <c r="D195" s="125"/>
      <c r="E195" s="70"/>
      <c r="F195" s="70"/>
      <c r="G195" s="70"/>
      <c r="H195" s="70"/>
      <c r="I195" s="70"/>
      <c r="J195" s="70"/>
      <c r="K195" s="70"/>
      <c r="L195" s="70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</row>
    <row r="196" ht="14.25" customHeight="1">
      <c r="A196" s="71"/>
      <c r="B196" s="71"/>
      <c r="C196" s="70"/>
      <c r="D196" s="125"/>
      <c r="E196" s="70"/>
      <c r="F196" s="70"/>
      <c r="G196" s="70"/>
      <c r="H196" s="70"/>
      <c r="I196" s="70"/>
      <c r="J196" s="70"/>
      <c r="K196" s="70"/>
      <c r="L196" s="70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</row>
    <row r="197" ht="14.25" customHeight="1">
      <c r="A197" s="71"/>
      <c r="B197" s="71"/>
      <c r="C197" s="70"/>
      <c r="D197" s="125"/>
      <c r="E197" s="70"/>
      <c r="F197" s="70"/>
      <c r="G197" s="70"/>
      <c r="H197" s="70"/>
      <c r="I197" s="70"/>
      <c r="J197" s="70"/>
      <c r="K197" s="70"/>
      <c r="L197" s="70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</row>
    <row r="198" ht="14.25" customHeight="1">
      <c r="A198" s="71"/>
      <c r="B198" s="71"/>
      <c r="C198" s="70"/>
      <c r="D198" s="125"/>
      <c r="E198" s="70"/>
      <c r="F198" s="70"/>
      <c r="G198" s="70"/>
      <c r="H198" s="70"/>
      <c r="I198" s="70"/>
      <c r="J198" s="70"/>
      <c r="K198" s="70"/>
      <c r="L198" s="70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</row>
    <row r="199" ht="14.25" customHeight="1">
      <c r="A199" s="71"/>
      <c r="B199" s="71"/>
      <c r="C199" s="70"/>
      <c r="D199" s="125"/>
      <c r="E199" s="70"/>
      <c r="F199" s="70"/>
      <c r="G199" s="70"/>
      <c r="H199" s="70"/>
      <c r="I199" s="70"/>
      <c r="J199" s="70"/>
      <c r="K199" s="70"/>
      <c r="L199" s="70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</row>
    <row r="200" ht="14.25" customHeight="1">
      <c r="A200" s="71"/>
      <c r="B200" s="71"/>
      <c r="C200" s="70"/>
      <c r="D200" s="125"/>
      <c r="E200" s="70"/>
      <c r="F200" s="70"/>
      <c r="G200" s="70"/>
      <c r="H200" s="70"/>
      <c r="I200" s="70"/>
      <c r="J200" s="70"/>
      <c r="K200" s="70"/>
      <c r="L200" s="70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</row>
    <row r="201" ht="14.25" customHeight="1">
      <c r="A201" s="71"/>
      <c r="B201" s="71"/>
      <c r="C201" s="70"/>
      <c r="D201" s="125"/>
      <c r="E201" s="70"/>
      <c r="F201" s="70"/>
      <c r="G201" s="70"/>
      <c r="H201" s="70"/>
      <c r="I201" s="70"/>
      <c r="J201" s="70"/>
      <c r="K201" s="70"/>
      <c r="L201" s="70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</row>
    <row r="202" ht="14.25" customHeight="1">
      <c r="A202" s="71"/>
      <c r="B202" s="71"/>
      <c r="C202" s="70"/>
      <c r="D202" s="125"/>
      <c r="E202" s="70"/>
      <c r="F202" s="70"/>
      <c r="G202" s="70"/>
      <c r="H202" s="70"/>
      <c r="I202" s="70"/>
      <c r="J202" s="70"/>
      <c r="K202" s="70"/>
      <c r="L202" s="70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</row>
    <row r="203" ht="14.25" customHeight="1">
      <c r="A203" s="71"/>
      <c r="B203" s="71"/>
      <c r="C203" s="70"/>
      <c r="D203" s="125"/>
      <c r="E203" s="70"/>
      <c r="F203" s="70"/>
      <c r="G203" s="70"/>
      <c r="H203" s="70"/>
      <c r="I203" s="70"/>
      <c r="J203" s="70"/>
      <c r="K203" s="70"/>
      <c r="L203" s="70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</row>
    <row r="204" ht="14.25" customHeight="1">
      <c r="A204" s="71"/>
      <c r="B204" s="71"/>
      <c r="C204" s="70"/>
      <c r="D204" s="125"/>
      <c r="E204" s="70"/>
      <c r="F204" s="70"/>
      <c r="G204" s="70"/>
      <c r="H204" s="70"/>
      <c r="I204" s="70"/>
      <c r="J204" s="70"/>
      <c r="K204" s="70"/>
      <c r="L204" s="70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</row>
    <row r="205" ht="14.25" customHeight="1">
      <c r="A205" s="71"/>
      <c r="B205" s="71"/>
      <c r="C205" s="70"/>
      <c r="D205" s="125"/>
      <c r="E205" s="70"/>
      <c r="F205" s="70"/>
      <c r="G205" s="70"/>
      <c r="H205" s="70"/>
      <c r="I205" s="70"/>
      <c r="J205" s="70"/>
      <c r="K205" s="70"/>
      <c r="L205" s="70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</row>
    <row r="206" ht="14.25" customHeight="1">
      <c r="A206" s="71"/>
      <c r="B206" s="71"/>
      <c r="C206" s="70"/>
      <c r="D206" s="125"/>
      <c r="E206" s="70"/>
      <c r="F206" s="70"/>
      <c r="G206" s="70"/>
      <c r="H206" s="70"/>
      <c r="I206" s="70"/>
      <c r="J206" s="70"/>
      <c r="K206" s="70"/>
      <c r="L206" s="70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</row>
    <row r="207" ht="14.25" customHeight="1">
      <c r="A207" s="71"/>
      <c r="B207" s="71"/>
      <c r="C207" s="70"/>
      <c r="D207" s="125"/>
      <c r="E207" s="70"/>
      <c r="F207" s="70"/>
      <c r="G207" s="70"/>
      <c r="H207" s="70"/>
      <c r="I207" s="70"/>
      <c r="J207" s="70"/>
      <c r="K207" s="70"/>
      <c r="L207" s="70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</row>
    <row r="208" ht="14.25" customHeight="1">
      <c r="A208" s="71"/>
      <c r="B208" s="71"/>
      <c r="C208" s="70"/>
      <c r="D208" s="125"/>
      <c r="E208" s="70"/>
      <c r="F208" s="70"/>
      <c r="G208" s="70"/>
      <c r="H208" s="70"/>
      <c r="I208" s="70"/>
      <c r="J208" s="70"/>
      <c r="K208" s="70"/>
      <c r="L208" s="70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</row>
    <row r="209" ht="14.25" customHeight="1">
      <c r="A209" s="71"/>
      <c r="B209" s="71"/>
      <c r="C209" s="70"/>
      <c r="D209" s="125"/>
      <c r="E209" s="70"/>
      <c r="F209" s="70"/>
      <c r="G209" s="70"/>
      <c r="H209" s="70"/>
      <c r="I209" s="70"/>
      <c r="J209" s="70"/>
      <c r="K209" s="70"/>
      <c r="L209" s="70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</row>
    <row r="210" ht="14.25" customHeight="1">
      <c r="A210" s="71"/>
      <c r="B210" s="71"/>
      <c r="C210" s="70"/>
      <c r="D210" s="125"/>
      <c r="E210" s="70"/>
      <c r="F210" s="70"/>
      <c r="G210" s="70"/>
      <c r="H210" s="70"/>
      <c r="I210" s="70"/>
      <c r="J210" s="70"/>
      <c r="K210" s="70"/>
      <c r="L210" s="70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</row>
    <row r="211" ht="14.25" customHeight="1">
      <c r="A211" s="71"/>
      <c r="B211" s="71"/>
      <c r="C211" s="70"/>
      <c r="D211" s="125"/>
      <c r="E211" s="70"/>
      <c r="F211" s="70"/>
      <c r="G211" s="70"/>
      <c r="H211" s="70"/>
      <c r="I211" s="70"/>
      <c r="J211" s="70"/>
      <c r="K211" s="70"/>
      <c r="L211" s="70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</row>
    <row r="212" ht="14.25" customHeight="1">
      <c r="A212" s="71"/>
      <c r="B212" s="71"/>
      <c r="C212" s="70"/>
      <c r="D212" s="125"/>
      <c r="E212" s="70"/>
      <c r="F212" s="70"/>
      <c r="G212" s="70"/>
      <c r="H212" s="70"/>
      <c r="I212" s="70"/>
      <c r="J212" s="70"/>
      <c r="K212" s="70"/>
      <c r="L212" s="70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</row>
    <row r="213" ht="14.25" customHeight="1">
      <c r="A213" s="71"/>
      <c r="B213" s="71"/>
      <c r="C213" s="70"/>
      <c r="D213" s="125"/>
      <c r="E213" s="70"/>
      <c r="F213" s="70"/>
      <c r="G213" s="70"/>
      <c r="H213" s="70"/>
      <c r="I213" s="70"/>
      <c r="J213" s="70"/>
      <c r="K213" s="70"/>
      <c r="L213" s="70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</row>
    <row r="214" ht="14.25" customHeight="1">
      <c r="A214" s="71"/>
      <c r="B214" s="71"/>
      <c r="C214" s="70"/>
      <c r="D214" s="125"/>
      <c r="E214" s="70"/>
      <c r="F214" s="70"/>
      <c r="G214" s="70"/>
      <c r="H214" s="70"/>
      <c r="I214" s="70"/>
      <c r="J214" s="70"/>
      <c r="K214" s="70"/>
      <c r="L214" s="70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</row>
    <row r="215" ht="14.25" customHeight="1">
      <c r="A215" s="71"/>
      <c r="B215" s="71"/>
      <c r="C215" s="70"/>
      <c r="D215" s="125"/>
      <c r="E215" s="70"/>
      <c r="F215" s="70"/>
      <c r="G215" s="70"/>
      <c r="H215" s="70"/>
      <c r="I215" s="70"/>
      <c r="J215" s="70"/>
      <c r="K215" s="70"/>
      <c r="L215" s="70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</row>
    <row r="216" ht="14.25" customHeight="1">
      <c r="A216" s="71"/>
      <c r="B216" s="71"/>
      <c r="C216" s="70"/>
      <c r="D216" s="125"/>
      <c r="E216" s="70"/>
      <c r="F216" s="70"/>
      <c r="G216" s="70"/>
      <c r="H216" s="70"/>
      <c r="I216" s="70"/>
      <c r="J216" s="70"/>
      <c r="K216" s="70"/>
      <c r="L216" s="70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</row>
    <row r="217" ht="14.25" customHeight="1">
      <c r="A217" s="71"/>
      <c r="B217" s="71"/>
      <c r="C217" s="70"/>
      <c r="D217" s="125"/>
      <c r="E217" s="70"/>
      <c r="F217" s="70"/>
      <c r="G217" s="70"/>
      <c r="H217" s="70"/>
      <c r="I217" s="70"/>
      <c r="J217" s="70"/>
      <c r="K217" s="70"/>
      <c r="L217" s="70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</row>
    <row r="218" ht="14.25" customHeight="1">
      <c r="A218" s="71"/>
      <c r="B218" s="71"/>
      <c r="C218" s="70"/>
      <c r="D218" s="125"/>
      <c r="E218" s="70"/>
      <c r="F218" s="70"/>
      <c r="G218" s="70"/>
      <c r="H218" s="70"/>
      <c r="I218" s="70"/>
      <c r="J218" s="70"/>
      <c r="K218" s="70"/>
      <c r="L218" s="70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</row>
    <row r="219" ht="14.25" customHeight="1">
      <c r="A219" s="71"/>
      <c r="B219" s="71"/>
      <c r="C219" s="70"/>
      <c r="D219" s="125"/>
      <c r="E219" s="70"/>
      <c r="F219" s="70"/>
      <c r="G219" s="70"/>
      <c r="H219" s="70"/>
      <c r="I219" s="70"/>
      <c r="J219" s="70"/>
      <c r="K219" s="70"/>
      <c r="L219" s="70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</row>
    <row r="220" ht="14.25" customHeight="1">
      <c r="A220" s="71"/>
      <c r="B220" s="71"/>
      <c r="C220" s="70"/>
      <c r="D220" s="125"/>
      <c r="E220" s="70"/>
      <c r="F220" s="70"/>
      <c r="G220" s="70"/>
      <c r="H220" s="70"/>
      <c r="I220" s="70"/>
      <c r="J220" s="70"/>
      <c r="K220" s="70"/>
      <c r="L220" s="70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</row>
    <row r="221" ht="14.25" customHeight="1">
      <c r="A221" s="71"/>
      <c r="B221" s="71"/>
      <c r="C221" s="70"/>
      <c r="D221" s="125"/>
      <c r="E221" s="70"/>
      <c r="F221" s="70"/>
      <c r="G221" s="70"/>
      <c r="H221" s="70"/>
      <c r="I221" s="70"/>
      <c r="J221" s="70"/>
      <c r="K221" s="70"/>
      <c r="L221" s="70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</row>
    <row r="222" ht="14.25" customHeight="1">
      <c r="A222" s="71"/>
      <c r="B222" s="71"/>
      <c r="C222" s="70"/>
      <c r="D222" s="125"/>
      <c r="E222" s="70"/>
      <c r="F222" s="70"/>
      <c r="G222" s="70"/>
      <c r="H222" s="70"/>
      <c r="I222" s="70"/>
      <c r="J222" s="70"/>
      <c r="K222" s="70"/>
      <c r="L222" s="70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</row>
    <row r="223" ht="14.25" customHeight="1">
      <c r="A223" s="71"/>
      <c r="B223" s="71"/>
      <c r="C223" s="70"/>
      <c r="D223" s="125"/>
      <c r="E223" s="70"/>
      <c r="F223" s="70"/>
      <c r="G223" s="70"/>
      <c r="H223" s="70"/>
      <c r="I223" s="70"/>
      <c r="J223" s="70"/>
      <c r="K223" s="70"/>
      <c r="L223" s="70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</row>
    <row r="224" ht="14.25" customHeight="1">
      <c r="A224" s="71"/>
      <c r="B224" s="71"/>
      <c r="C224" s="70"/>
      <c r="D224" s="125"/>
      <c r="E224" s="70"/>
      <c r="F224" s="70"/>
      <c r="G224" s="70"/>
      <c r="H224" s="70"/>
      <c r="I224" s="70"/>
      <c r="J224" s="70"/>
      <c r="K224" s="70"/>
      <c r="L224" s="70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</row>
    <row r="225" ht="14.25" customHeight="1">
      <c r="A225" s="71"/>
      <c r="B225" s="71"/>
      <c r="C225" s="70"/>
      <c r="D225" s="125"/>
      <c r="E225" s="70"/>
      <c r="F225" s="70"/>
      <c r="G225" s="70"/>
      <c r="H225" s="70"/>
      <c r="I225" s="70"/>
      <c r="J225" s="70"/>
      <c r="K225" s="70"/>
      <c r="L225" s="70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</row>
    <row r="226" ht="14.25" customHeight="1">
      <c r="A226" s="71"/>
      <c r="B226" s="71"/>
      <c r="C226" s="70"/>
      <c r="D226" s="125"/>
      <c r="E226" s="70"/>
      <c r="F226" s="70"/>
      <c r="G226" s="70"/>
      <c r="H226" s="70"/>
      <c r="I226" s="70"/>
      <c r="J226" s="70"/>
      <c r="K226" s="70"/>
      <c r="L226" s="70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</row>
    <row r="227" ht="14.25" customHeight="1">
      <c r="A227" s="71"/>
      <c r="B227" s="71"/>
      <c r="C227" s="70"/>
      <c r="D227" s="125"/>
      <c r="E227" s="70"/>
      <c r="F227" s="70"/>
      <c r="G227" s="70"/>
      <c r="H227" s="70"/>
      <c r="I227" s="70"/>
      <c r="J227" s="70"/>
      <c r="K227" s="70"/>
      <c r="L227" s="70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</row>
    <row r="228" ht="14.25" customHeight="1">
      <c r="A228" s="71"/>
      <c r="B228" s="71"/>
      <c r="C228" s="70"/>
      <c r="D228" s="125"/>
      <c r="E228" s="70"/>
      <c r="F228" s="70"/>
      <c r="G228" s="70"/>
      <c r="H228" s="70"/>
      <c r="I228" s="70"/>
      <c r="J228" s="70"/>
      <c r="K228" s="70"/>
      <c r="L228" s="70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</row>
    <row r="229" ht="14.25" customHeight="1">
      <c r="A229" s="71"/>
      <c r="B229" s="71"/>
      <c r="C229" s="70"/>
      <c r="D229" s="125"/>
      <c r="E229" s="70"/>
      <c r="F229" s="70"/>
      <c r="G229" s="70"/>
      <c r="H229" s="70"/>
      <c r="I229" s="70"/>
      <c r="J229" s="70"/>
      <c r="K229" s="70"/>
      <c r="L229" s="70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</row>
    <row r="230" ht="14.25" customHeight="1">
      <c r="A230" s="71"/>
      <c r="B230" s="71"/>
      <c r="C230" s="70"/>
      <c r="D230" s="125"/>
      <c r="E230" s="70"/>
      <c r="F230" s="70"/>
      <c r="G230" s="70"/>
      <c r="H230" s="70"/>
      <c r="I230" s="70"/>
      <c r="J230" s="70"/>
      <c r="K230" s="70"/>
      <c r="L230" s="70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</row>
    <row r="231" ht="14.25" customHeight="1">
      <c r="A231" s="71"/>
      <c r="B231" s="71"/>
      <c r="C231" s="70"/>
      <c r="D231" s="125"/>
      <c r="E231" s="70"/>
      <c r="F231" s="70"/>
      <c r="G231" s="70"/>
      <c r="H231" s="70"/>
      <c r="I231" s="70"/>
      <c r="J231" s="70"/>
      <c r="K231" s="70"/>
      <c r="L231" s="70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</row>
    <row r="232" ht="14.25" customHeight="1">
      <c r="A232" s="71"/>
      <c r="B232" s="71"/>
      <c r="C232" s="70"/>
      <c r="D232" s="125"/>
      <c r="E232" s="70"/>
      <c r="F232" s="70"/>
      <c r="G232" s="70"/>
      <c r="H232" s="70"/>
      <c r="I232" s="70"/>
      <c r="J232" s="70"/>
      <c r="K232" s="70"/>
      <c r="L232" s="70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</row>
    <row r="233" ht="14.25" customHeight="1">
      <c r="A233" s="71"/>
      <c r="B233" s="71"/>
      <c r="C233" s="70"/>
      <c r="D233" s="125"/>
      <c r="E233" s="70"/>
      <c r="F233" s="70"/>
      <c r="G233" s="70"/>
      <c r="H233" s="70"/>
      <c r="I233" s="70"/>
      <c r="J233" s="70"/>
      <c r="K233" s="70"/>
      <c r="L233" s="70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</row>
    <row r="234" ht="14.25" customHeight="1">
      <c r="A234" s="71"/>
      <c r="B234" s="71"/>
      <c r="C234" s="70"/>
      <c r="D234" s="125"/>
      <c r="E234" s="70"/>
      <c r="F234" s="70"/>
      <c r="G234" s="70"/>
      <c r="H234" s="70"/>
      <c r="I234" s="70"/>
      <c r="J234" s="70"/>
      <c r="K234" s="70"/>
      <c r="L234" s="70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</row>
    <row r="235" ht="14.25" customHeight="1">
      <c r="A235" s="71"/>
      <c r="B235" s="71"/>
      <c r="C235" s="70"/>
      <c r="D235" s="125"/>
      <c r="E235" s="70"/>
      <c r="F235" s="70"/>
      <c r="G235" s="70"/>
      <c r="H235" s="70"/>
      <c r="I235" s="70"/>
      <c r="J235" s="70"/>
      <c r="K235" s="70"/>
      <c r="L235" s="70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</row>
    <row r="236" ht="14.25" customHeight="1">
      <c r="A236" s="71"/>
      <c r="B236" s="71"/>
      <c r="C236" s="70"/>
      <c r="D236" s="125"/>
      <c r="E236" s="70"/>
      <c r="F236" s="70"/>
      <c r="G236" s="70"/>
      <c r="H236" s="70"/>
      <c r="I236" s="70"/>
      <c r="J236" s="70"/>
      <c r="K236" s="70"/>
      <c r="L236" s="70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</row>
    <row r="237" ht="14.25" customHeight="1">
      <c r="A237" s="71"/>
      <c r="B237" s="71"/>
      <c r="C237" s="70"/>
      <c r="D237" s="125"/>
      <c r="E237" s="70"/>
      <c r="F237" s="70"/>
      <c r="G237" s="70"/>
      <c r="H237" s="70"/>
      <c r="I237" s="70"/>
      <c r="J237" s="70"/>
      <c r="K237" s="70"/>
      <c r="L237" s="70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</row>
    <row r="238" ht="14.25" customHeight="1">
      <c r="A238" s="71"/>
      <c r="B238" s="71"/>
      <c r="C238" s="70"/>
      <c r="D238" s="125"/>
      <c r="E238" s="70"/>
      <c r="F238" s="70"/>
      <c r="G238" s="70"/>
      <c r="H238" s="70"/>
      <c r="I238" s="70"/>
      <c r="J238" s="70"/>
      <c r="K238" s="70"/>
      <c r="L238" s="70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</row>
    <row r="239" ht="14.25" customHeight="1">
      <c r="A239" s="71"/>
      <c r="B239" s="71"/>
      <c r="C239" s="70"/>
      <c r="D239" s="125"/>
      <c r="E239" s="70"/>
      <c r="F239" s="70"/>
      <c r="G239" s="70"/>
      <c r="H239" s="70"/>
      <c r="I239" s="70"/>
      <c r="J239" s="70"/>
      <c r="K239" s="70"/>
      <c r="L239" s="70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</row>
    <row r="240" ht="14.25" customHeight="1">
      <c r="A240" s="71"/>
      <c r="B240" s="71"/>
      <c r="C240" s="70"/>
      <c r="D240" s="125"/>
      <c r="E240" s="70"/>
      <c r="F240" s="70"/>
      <c r="G240" s="70"/>
      <c r="H240" s="70"/>
      <c r="I240" s="70"/>
      <c r="J240" s="70"/>
      <c r="K240" s="70"/>
      <c r="L240" s="70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</row>
    <row r="241" ht="14.25" customHeight="1">
      <c r="A241" s="71"/>
      <c r="B241" s="71"/>
      <c r="C241" s="70"/>
      <c r="D241" s="125"/>
      <c r="E241" s="70"/>
      <c r="F241" s="70"/>
      <c r="G241" s="70"/>
      <c r="H241" s="70"/>
      <c r="I241" s="70"/>
      <c r="J241" s="70"/>
      <c r="K241" s="70"/>
      <c r="L241" s="70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</row>
    <row r="242" ht="14.25" customHeight="1">
      <c r="A242" s="71"/>
      <c r="B242" s="71"/>
      <c r="C242" s="70"/>
      <c r="D242" s="125"/>
      <c r="E242" s="70"/>
      <c r="F242" s="70"/>
      <c r="G242" s="70"/>
      <c r="H242" s="70"/>
      <c r="I242" s="70"/>
      <c r="J242" s="70"/>
      <c r="K242" s="70"/>
      <c r="L242" s="70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</row>
    <row r="243" ht="14.25" customHeight="1">
      <c r="A243" s="71"/>
      <c r="B243" s="71"/>
      <c r="C243" s="70"/>
      <c r="D243" s="125"/>
      <c r="E243" s="70"/>
      <c r="F243" s="70"/>
      <c r="G243" s="70"/>
      <c r="H243" s="70"/>
      <c r="I243" s="70"/>
      <c r="J243" s="70"/>
      <c r="K243" s="70"/>
      <c r="L243" s="70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</row>
    <row r="244" ht="14.25" customHeight="1">
      <c r="A244" s="71"/>
      <c r="B244" s="71"/>
      <c r="C244" s="70"/>
      <c r="D244" s="125"/>
      <c r="E244" s="70"/>
      <c r="F244" s="70"/>
      <c r="G244" s="70"/>
      <c r="H244" s="70"/>
      <c r="I244" s="70"/>
      <c r="J244" s="70"/>
      <c r="K244" s="70"/>
      <c r="L244" s="70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</row>
    <row r="245" ht="14.25" customHeight="1">
      <c r="A245" s="71"/>
      <c r="B245" s="71"/>
      <c r="C245" s="70"/>
      <c r="D245" s="125"/>
      <c r="E245" s="70"/>
      <c r="F245" s="70"/>
      <c r="G245" s="70"/>
      <c r="H245" s="70"/>
      <c r="I245" s="70"/>
      <c r="J245" s="70"/>
      <c r="K245" s="70"/>
      <c r="L245" s="70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</row>
    <row r="246" ht="14.25" customHeight="1">
      <c r="A246" s="71"/>
      <c r="B246" s="71"/>
      <c r="C246" s="70"/>
      <c r="D246" s="125"/>
      <c r="E246" s="70"/>
      <c r="F246" s="70"/>
      <c r="G246" s="70"/>
      <c r="H246" s="70"/>
      <c r="I246" s="70"/>
      <c r="J246" s="70"/>
      <c r="K246" s="70"/>
      <c r="L246" s="70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</row>
    <row r="247" ht="14.25" customHeight="1">
      <c r="A247" s="71"/>
      <c r="B247" s="71"/>
      <c r="C247" s="70"/>
      <c r="D247" s="125"/>
      <c r="E247" s="70"/>
      <c r="F247" s="70"/>
      <c r="G247" s="70"/>
      <c r="H247" s="70"/>
      <c r="I247" s="70"/>
      <c r="J247" s="70"/>
      <c r="K247" s="70"/>
      <c r="L247" s="70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</row>
    <row r="248" ht="14.25" customHeight="1">
      <c r="A248" s="71"/>
      <c r="B248" s="71"/>
      <c r="C248" s="70"/>
      <c r="D248" s="125"/>
      <c r="E248" s="70"/>
      <c r="F248" s="70"/>
      <c r="G248" s="70"/>
      <c r="H248" s="70"/>
      <c r="I248" s="70"/>
      <c r="J248" s="70"/>
      <c r="K248" s="70"/>
      <c r="L248" s="70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</row>
    <row r="249" ht="14.25" customHeight="1">
      <c r="A249" s="71"/>
      <c r="B249" s="71"/>
      <c r="C249" s="70"/>
      <c r="D249" s="125"/>
      <c r="E249" s="70"/>
      <c r="F249" s="70"/>
      <c r="G249" s="70"/>
      <c r="H249" s="70"/>
      <c r="I249" s="70"/>
      <c r="J249" s="70"/>
      <c r="K249" s="70"/>
      <c r="L249" s="70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</row>
    <row r="250" ht="14.25" customHeight="1">
      <c r="A250" s="71"/>
      <c r="B250" s="71"/>
      <c r="C250" s="70"/>
      <c r="D250" s="125"/>
      <c r="E250" s="70"/>
      <c r="F250" s="70"/>
      <c r="G250" s="70"/>
      <c r="H250" s="70"/>
      <c r="I250" s="70"/>
      <c r="J250" s="70"/>
      <c r="K250" s="70"/>
      <c r="L250" s="70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</row>
    <row r="251" ht="14.25" customHeight="1">
      <c r="A251" s="71"/>
      <c r="B251" s="71"/>
      <c r="C251" s="70"/>
      <c r="D251" s="125"/>
      <c r="E251" s="70"/>
      <c r="F251" s="70"/>
      <c r="G251" s="70"/>
      <c r="H251" s="70"/>
      <c r="I251" s="70"/>
      <c r="J251" s="70"/>
      <c r="K251" s="70"/>
      <c r="L251" s="70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</row>
    <row r="252" ht="14.25" customHeight="1">
      <c r="A252" s="71"/>
      <c r="B252" s="71"/>
      <c r="C252" s="70"/>
      <c r="D252" s="125"/>
      <c r="E252" s="70"/>
      <c r="F252" s="70"/>
      <c r="G252" s="70"/>
      <c r="H252" s="70"/>
      <c r="I252" s="70"/>
      <c r="J252" s="70"/>
      <c r="K252" s="70"/>
      <c r="L252" s="70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</row>
    <row r="253" ht="14.25" customHeight="1">
      <c r="A253" s="71"/>
      <c r="B253" s="71"/>
      <c r="C253" s="70"/>
      <c r="D253" s="125"/>
      <c r="E253" s="70"/>
      <c r="F253" s="70"/>
      <c r="G253" s="70"/>
      <c r="H253" s="70"/>
      <c r="I253" s="70"/>
      <c r="J253" s="70"/>
      <c r="K253" s="70"/>
      <c r="L253" s="70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</row>
    <row r="254" ht="14.25" customHeight="1">
      <c r="A254" s="71"/>
      <c r="B254" s="71"/>
      <c r="C254" s="70"/>
      <c r="D254" s="125"/>
      <c r="E254" s="70"/>
      <c r="F254" s="70"/>
      <c r="G254" s="70"/>
      <c r="H254" s="70"/>
      <c r="I254" s="70"/>
      <c r="J254" s="70"/>
      <c r="K254" s="70"/>
      <c r="L254" s="70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</row>
    <row r="255" ht="14.25" customHeight="1">
      <c r="A255" s="71"/>
      <c r="B255" s="71"/>
      <c r="C255" s="70"/>
      <c r="D255" s="125"/>
      <c r="E255" s="70"/>
      <c r="F255" s="70"/>
      <c r="G255" s="70"/>
      <c r="H255" s="70"/>
      <c r="I255" s="70"/>
      <c r="J255" s="70"/>
      <c r="K255" s="70"/>
      <c r="L255" s="70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</row>
    <row r="256" ht="14.25" customHeight="1">
      <c r="A256" s="71"/>
      <c r="B256" s="71"/>
      <c r="C256" s="70"/>
      <c r="D256" s="125"/>
      <c r="E256" s="70"/>
      <c r="F256" s="70"/>
      <c r="G256" s="70"/>
      <c r="H256" s="70"/>
      <c r="I256" s="70"/>
      <c r="J256" s="70"/>
      <c r="K256" s="70"/>
      <c r="L256" s="70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</row>
    <row r="257" ht="14.25" customHeight="1">
      <c r="A257" s="71"/>
      <c r="B257" s="71"/>
      <c r="C257" s="70"/>
      <c r="D257" s="125"/>
      <c r="E257" s="70"/>
      <c r="F257" s="70"/>
      <c r="G257" s="70"/>
      <c r="H257" s="70"/>
      <c r="I257" s="70"/>
      <c r="J257" s="70"/>
      <c r="K257" s="70"/>
      <c r="L257" s="70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</row>
    <row r="258" ht="14.25" customHeight="1">
      <c r="A258" s="71"/>
      <c r="B258" s="71"/>
      <c r="C258" s="70"/>
      <c r="D258" s="125"/>
      <c r="E258" s="70"/>
      <c r="F258" s="70"/>
      <c r="G258" s="70"/>
      <c r="H258" s="70"/>
      <c r="I258" s="70"/>
      <c r="J258" s="70"/>
      <c r="K258" s="70"/>
      <c r="L258" s="70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</row>
    <row r="259" ht="14.25" customHeight="1">
      <c r="A259" s="71"/>
      <c r="B259" s="71"/>
      <c r="C259" s="70"/>
      <c r="D259" s="125"/>
      <c r="E259" s="70"/>
      <c r="F259" s="70"/>
      <c r="G259" s="70"/>
      <c r="H259" s="70"/>
      <c r="I259" s="70"/>
      <c r="J259" s="70"/>
      <c r="K259" s="70"/>
      <c r="L259" s="70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</row>
    <row r="260" ht="14.25" customHeight="1">
      <c r="A260" s="71"/>
      <c r="B260" s="71"/>
      <c r="C260" s="70"/>
      <c r="D260" s="125"/>
      <c r="E260" s="70"/>
      <c r="F260" s="70"/>
      <c r="G260" s="70"/>
      <c r="H260" s="70"/>
      <c r="I260" s="70"/>
      <c r="J260" s="70"/>
      <c r="K260" s="70"/>
      <c r="L260" s="70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</row>
    <row r="261" ht="14.25" customHeight="1">
      <c r="A261" s="71"/>
      <c r="B261" s="71"/>
      <c r="C261" s="70"/>
      <c r="D261" s="125"/>
      <c r="E261" s="70"/>
      <c r="F261" s="70"/>
      <c r="G261" s="70"/>
      <c r="H261" s="70"/>
      <c r="I261" s="70"/>
      <c r="J261" s="70"/>
      <c r="K261" s="70"/>
      <c r="L261" s="70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</row>
    <row r="262" ht="14.25" customHeight="1">
      <c r="A262" s="71"/>
      <c r="B262" s="71"/>
      <c r="C262" s="70"/>
      <c r="D262" s="125"/>
      <c r="E262" s="70"/>
      <c r="F262" s="70"/>
      <c r="G262" s="70"/>
      <c r="H262" s="70"/>
      <c r="I262" s="70"/>
      <c r="J262" s="70"/>
      <c r="K262" s="70"/>
      <c r="L262" s="70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</row>
    <row r="263" ht="14.25" customHeight="1">
      <c r="A263" s="71"/>
      <c r="B263" s="71"/>
      <c r="C263" s="70"/>
      <c r="D263" s="125"/>
      <c r="E263" s="70"/>
      <c r="F263" s="70"/>
      <c r="G263" s="70"/>
      <c r="H263" s="70"/>
      <c r="I263" s="70"/>
      <c r="J263" s="70"/>
      <c r="K263" s="70"/>
      <c r="L263" s="70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</row>
    <row r="264" ht="14.25" customHeight="1">
      <c r="A264" s="71"/>
      <c r="B264" s="71"/>
      <c r="C264" s="70"/>
      <c r="D264" s="125"/>
      <c r="E264" s="70"/>
      <c r="F264" s="70"/>
      <c r="G264" s="70"/>
      <c r="H264" s="70"/>
      <c r="I264" s="70"/>
      <c r="J264" s="70"/>
      <c r="K264" s="70"/>
      <c r="L264" s="70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</row>
    <row r="265" ht="14.25" customHeight="1">
      <c r="A265" s="71"/>
      <c r="B265" s="71"/>
      <c r="C265" s="70"/>
      <c r="D265" s="125"/>
      <c r="E265" s="70"/>
      <c r="F265" s="70"/>
      <c r="G265" s="70"/>
      <c r="H265" s="70"/>
      <c r="I265" s="70"/>
      <c r="J265" s="70"/>
      <c r="K265" s="70"/>
      <c r="L265" s="70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</row>
    <row r="266" ht="14.25" customHeight="1">
      <c r="A266" s="71"/>
      <c r="B266" s="71"/>
      <c r="C266" s="70"/>
      <c r="D266" s="125"/>
      <c r="E266" s="70"/>
      <c r="F266" s="70"/>
      <c r="G266" s="70"/>
      <c r="H266" s="70"/>
      <c r="I266" s="70"/>
      <c r="J266" s="70"/>
      <c r="K266" s="70"/>
      <c r="L266" s="70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</row>
    <row r="267" ht="14.25" customHeight="1">
      <c r="A267" s="71"/>
      <c r="B267" s="71"/>
      <c r="C267" s="70"/>
      <c r="D267" s="125"/>
      <c r="E267" s="70"/>
      <c r="F267" s="70"/>
      <c r="G267" s="70"/>
      <c r="H267" s="70"/>
      <c r="I267" s="70"/>
      <c r="J267" s="70"/>
      <c r="K267" s="70"/>
      <c r="L267" s="70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</row>
    <row r="268" ht="15.75" customHeight="1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</row>
    <row r="269" ht="15.75" customHeight="1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</row>
    <row r="270" ht="15.75" customHeight="1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</row>
    <row r="271" ht="15.75" customHeight="1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</row>
    <row r="272" ht="15.75" customHeight="1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</row>
    <row r="273" ht="15.75" customHeight="1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</row>
    <row r="274" ht="15.75" customHeight="1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</row>
    <row r="275" ht="15.75" customHeight="1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</row>
    <row r="276" ht="15.75" customHeight="1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</row>
    <row r="277" ht="15.75" customHeight="1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</row>
    <row r="278" ht="15.75" customHeight="1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</row>
    <row r="279" ht="15.75" customHeight="1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</row>
    <row r="280" ht="15.7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</row>
    <row r="281" ht="15.7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</row>
    <row r="282" ht="15.7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</row>
    <row r="283" ht="15.7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</row>
    <row r="284" ht="15.7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</row>
    <row r="285" ht="15.7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</row>
    <row r="286" ht="15.7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</row>
    <row r="287" ht="15.7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</row>
    <row r="288" ht="15.7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</row>
    <row r="289" ht="15.7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</row>
    <row r="290" ht="15.7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</row>
    <row r="291" ht="15.7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</row>
    <row r="292" ht="15.7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</row>
    <row r="293" ht="15.7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</row>
    <row r="294" ht="15.7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</row>
    <row r="295" ht="15.7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</row>
    <row r="296" ht="15.7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</row>
    <row r="297" ht="15.7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</row>
    <row r="298" ht="15.7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</row>
    <row r="299" ht="15.7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</row>
    <row r="300" ht="15.7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</row>
    <row r="301" ht="15.75" customHeight="1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</row>
    <row r="302" ht="15.75" customHeight="1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</row>
    <row r="303" ht="15.75" customHeight="1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</row>
    <row r="304" ht="15.75" customHeight="1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</row>
    <row r="305" ht="15.75" customHeight="1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</row>
    <row r="306" ht="15.75" customHeight="1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</row>
    <row r="307" ht="15.75" customHeight="1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</row>
    <row r="308" ht="15.75" customHeight="1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</row>
    <row r="309" ht="15.75" customHeight="1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</row>
    <row r="310" ht="15.75" customHeight="1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</row>
    <row r="311" ht="15.75" customHeight="1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</row>
    <row r="312" ht="15.75" customHeight="1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</row>
    <row r="313" ht="15.75" customHeight="1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</row>
    <row r="314" ht="15.75" customHeight="1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</row>
    <row r="315" ht="15.75" customHeight="1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</row>
    <row r="316" ht="15.75" customHeight="1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</row>
    <row r="317" ht="15.75" customHeight="1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</row>
    <row r="318" ht="15.75" customHeight="1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</row>
    <row r="319" ht="15.75" customHeight="1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</row>
    <row r="320" ht="15.75" customHeight="1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</row>
    <row r="321" ht="15.75" customHeight="1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</row>
    <row r="322" ht="15.75" customHeight="1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</row>
    <row r="323" ht="15.75" customHeight="1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</row>
    <row r="324" ht="15.75" customHeight="1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</row>
    <row r="325" ht="15.75" customHeight="1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</row>
    <row r="326" ht="15.75" customHeight="1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</row>
    <row r="327" ht="15.75" customHeight="1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</row>
    <row r="328" ht="15.75" customHeight="1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</row>
    <row r="329" ht="15.75" customHeight="1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</row>
    <row r="330" ht="15.75" customHeight="1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</row>
    <row r="331" ht="15.75" customHeight="1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</row>
    <row r="332" ht="15.75" customHeight="1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</row>
    <row r="333" ht="15.75" customHeight="1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</row>
    <row r="334" ht="15.75" customHeight="1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</row>
    <row r="335" ht="15.75" customHeight="1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</row>
    <row r="336" ht="15.75" customHeight="1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</row>
    <row r="337" ht="15.75" customHeight="1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</row>
    <row r="338" ht="15.75" customHeight="1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</row>
    <row r="339" ht="15.75" customHeight="1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</row>
    <row r="340" ht="15.75" customHeight="1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</row>
    <row r="341" ht="15.75" customHeight="1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</row>
    <row r="342" ht="15.75" customHeight="1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</row>
    <row r="343" ht="15.75" customHeight="1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</row>
    <row r="344" ht="15.75" customHeight="1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</row>
    <row r="345" ht="15.75" customHeight="1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</row>
    <row r="346" ht="15.75" customHeight="1">
      <c r="A346" s="94"/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</row>
    <row r="347" ht="15.75" customHeight="1">
      <c r="A347" s="94"/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</row>
    <row r="348" ht="15.75" customHeight="1">
      <c r="A348" s="94"/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</row>
    <row r="349" ht="15.75" customHeight="1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</row>
    <row r="350" ht="15.75" customHeight="1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</row>
    <row r="351" ht="15.75" customHeight="1">
      <c r="A351" s="94"/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</row>
    <row r="352" ht="15.75" customHeight="1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</row>
    <row r="353" ht="15.75" customHeight="1">
      <c r="A353" s="94"/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</row>
    <row r="354" ht="15.75" customHeight="1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</row>
    <row r="355" ht="15.75" customHeight="1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</row>
    <row r="356" ht="15.75" customHeight="1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</row>
    <row r="357" ht="15.75" customHeight="1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</row>
    <row r="358" ht="15.75" customHeight="1">
      <c r="A358" s="94"/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</row>
    <row r="359" ht="15.75" customHeight="1">
      <c r="A359" s="94"/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</row>
    <row r="360" ht="15.75" customHeight="1">
      <c r="A360" s="94"/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</row>
    <row r="361" ht="15.75" customHeight="1">
      <c r="A361" s="94"/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</row>
    <row r="362" ht="15.75" customHeight="1">
      <c r="A362" s="94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</row>
    <row r="363" ht="15.75" customHeight="1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</row>
    <row r="364" ht="15.75" customHeight="1">
      <c r="A364" s="94"/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</row>
    <row r="365" ht="15.75" customHeight="1">
      <c r="A365" s="94"/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</row>
    <row r="366" ht="15.75" customHeight="1">
      <c r="A366" s="94"/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</row>
    <row r="367" ht="15.75" customHeight="1">
      <c r="A367" s="94"/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</row>
    <row r="368" ht="15.75" customHeight="1">
      <c r="A368" s="94"/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</row>
    <row r="369" ht="15.75" customHeight="1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</row>
    <row r="370" ht="15.75" customHeight="1">
      <c r="A370" s="94"/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</row>
    <row r="371" ht="15.75" customHeight="1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</row>
    <row r="372" ht="15.75" customHeight="1">
      <c r="A372" s="94"/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</row>
    <row r="373" ht="15.75" customHeight="1">
      <c r="A373" s="94"/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</row>
    <row r="374" ht="15.75" customHeight="1">
      <c r="A374" s="94"/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</row>
    <row r="375" ht="15.75" customHeight="1">
      <c r="A375" s="94"/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</row>
    <row r="376" ht="15.75" customHeight="1">
      <c r="A376" s="94"/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</row>
    <row r="377" ht="15.75" customHeight="1">
      <c r="A377" s="94"/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</row>
    <row r="378" ht="15.75" customHeight="1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</row>
    <row r="379" ht="15.75" customHeight="1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</row>
    <row r="380" ht="15.75" customHeight="1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</row>
    <row r="381" ht="15.75" customHeight="1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</row>
    <row r="382" ht="15.75" customHeight="1">
      <c r="A382" s="94"/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</row>
    <row r="383" ht="15.75" customHeight="1">
      <c r="A383" s="94"/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</row>
    <row r="384" ht="15.75" customHeight="1">
      <c r="A384" s="94"/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</row>
    <row r="385" ht="15.75" customHeight="1">
      <c r="A385" s="94"/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</row>
    <row r="386" ht="15.75" customHeight="1">
      <c r="A386" s="94"/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</row>
    <row r="387" ht="15.75" customHeight="1">
      <c r="A387" s="94"/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</row>
    <row r="388" ht="15.75" customHeight="1">
      <c r="A388" s="94"/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</row>
    <row r="389" ht="15.75" customHeight="1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</row>
    <row r="390" ht="15.75" customHeight="1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</row>
    <row r="391" ht="15.75" customHeight="1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</row>
    <row r="392" ht="15.75" customHeight="1">
      <c r="A392" s="94"/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</row>
    <row r="393" ht="15.75" customHeight="1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</row>
    <row r="394" ht="15.75" customHeight="1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</row>
    <row r="395" ht="15.75" customHeight="1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</row>
    <row r="396" ht="15.75" customHeight="1">
      <c r="A396" s="94"/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</row>
    <row r="397" ht="15.75" customHeight="1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</row>
    <row r="398" ht="15.75" customHeight="1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ht="15.75" customHeight="1">
      <c r="A399" s="94"/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  <row r="400" ht="15.75" customHeight="1">
      <c r="A400" s="94"/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</row>
    <row r="401" ht="15.75" customHeight="1">
      <c r="A401" s="94"/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</row>
    <row r="402" ht="15.75" customHeight="1">
      <c r="A402" s="94"/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</row>
    <row r="403" ht="15.75" customHeight="1">
      <c r="A403" s="94"/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</row>
    <row r="404" ht="15.75" customHeight="1">
      <c r="A404" s="94"/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</row>
    <row r="405" ht="15.75" customHeight="1">
      <c r="A405" s="94"/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</row>
    <row r="406" ht="15.75" customHeight="1">
      <c r="A406" s="94"/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</row>
    <row r="407" ht="15.75" customHeight="1">
      <c r="A407" s="94"/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</row>
    <row r="408" ht="15.75" customHeight="1">
      <c r="A408" s="94"/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</row>
    <row r="409" ht="15.75" customHeight="1">
      <c r="A409" s="94"/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</row>
    <row r="410" ht="15.75" customHeight="1">
      <c r="A410" s="94"/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</row>
    <row r="411" ht="15.75" customHeight="1">
      <c r="A411" s="94"/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</row>
    <row r="412" ht="15.75" customHeight="1">
      <c r="A412" s="94"/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</row>
    <row r="413" ht="15.75" customHeight="1">
      <c r="A413" s="94"/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</row>
    <row r="414" ht="15.75" customHeight="1">
      <c r="A414" s="94"/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</row>
    <row r="415" ht="15.75" customHeight="1">
      <c r="A415" s="94"/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</row>
    <row r="416" ht="15.75" customHeight="1">
      <c r="A416" s="94"/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  <c r="AC416" s="94"/>
    </row>
    <row r="417" ht="15.75" customHeight="1">
      <c r="A417" s="94"/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</row>
    <row r="418" ht="15.75" customHeight="1">
      <c r="A418" s="94"/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</row>
    <row r="419" ht="15.75" customHeight="1">
      <c r="A419" s="94"/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</row>
    <row r="420" ht="15.75" customHeight="1">
      <c r="A420" s="94"/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4"/>
    </row>
    <row r="421" ht="15.75" customHeight="1">
      <c r="A421" s="94"/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</row>
    <row r="422" ht="15.75" customHeight="1">
      <c r="A422" s="94"/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</row>
    <row r="423" ht="15.75" customHeight="1">
      <c r="A423" s="94"/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</row>
    <row r="424" ht="15.75" customHeight="1">
      <c r="A424" s="94"/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  <c r="AC424" s="94"/>
    </row>
    <row r="425" ht="15.75" customHeight="1">
      <c r="A425" s="94"/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  <c r="AB425" s="94"/>
      <c r="AC425" s="94"/>
    </row>
    <row r="426" ht="15.75" customHeight="1">
      <c r="A426" s="94"/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</row>
    <row r="427" ht="15.75" customHeight="1">
      <c r="A427" s="94"/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</row>
    <row r="428" ht="15.75" customHeight="1">
      <c r="A428" s="94"/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  <c r="AB428" s="94"/>
      <c r="AC428" s="94"/>
    </row>
    <row r="429" ht="15.75" customHeight="1">
      <c r="A429" s="94"/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  <c r="AB429" s="94"/>
      <c r="AC429" s="94"/>
    </row>
    <row r="430" ht="15.75" customHeight="1">
      <c r="A430" s="94"/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</row>
    <row r="431" ht="15.75" customHeight="1">
      <c r="A431" s="94"/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  <c r="AB431" s="94"/>
      <c r="AC431" s="94"/>
    </row>
    <row r="432" ht="15.75" customHeight="1">
      <c r="A432" s="94"/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  <c r="AB432" s="94"/>
      <c r="AC432" s="94"/>
    </row>
    <row r="433" ht="15.75" customHeight="1">
      <c r="A433" s="94"/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  <c r="AB433" s="94"/>
      <c r="AC433" s="94"/>
    </row>
    <row r="434" ht="15.75" customHeight="1">
      <c r="A434" s="94"/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</row>
    <row r="435" ht="15.75" customHeight="1">
      <c r="A435" s="94"/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  <c r="AB435" s="94"/>
      <c r="AC435" s="94"/>
    </row>
    <row r="436" ht="15.75" customHeight="1">
      <c r="A436" s="94"/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  <c r="AB436" s="94"/>
      <c r="AC436" s="94"/>
    </row>
    <row r="437" ht="15.75" customHeight="1">
      <c r="A437" s="94"/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  <c r="AB437" s="94"/>
      <c r="AC437" s="94"/>
    </row>
    <row r="438" ht="15.75" customHeight="1">
      <c r="A438" s="94"/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  <c r="AB438" s="94"/>
      <c r="AC438" s="94"/>
    </row>
    <row r="439" ht="15.75" customHeight="1">
      <c r="A439" s="94"/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  <c r="AB439" s="94"/>
      <c r="AC439" s="94"/>
    </row>
    <row r="440" ht="15.75" customHeight="1">
      <c r="A440" s="94"/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</row>
    <row r="441" ht="15.75" customHeight="1">
      <c r="A441" s="94"/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</row>
    <row r="442" ht="15.75" customHeight="1">
      <c r="A442" s="94"/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</row>
    <row r="443" ht="15.75" customHeight="1">
      <c r="A443" s="94"/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</row>
    <row r="444" ht="15.75" customHeight="1">
      <c r="A444" s="94"/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</row>
    <row r="445" ht="15.75" customHeight="1">
      <c r="A445" s="94"/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  <c r="AB445" s="94"/>
      <c r="AC445" s="94"/>
    </row>
    <row r="446" ht="15.75" customHeight="1">
      <c r="A446" s="94"/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  <c r="AB446" s="94"/>
      <c r="AC446" s="94"/>
    </row>
    <row r="447" ht="15.75" customHeight="1">
      <c r="A447" s="94"/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  <c r="AB447" s="94"/>
      <c r="AC447" s="94"/>
    </row>
    <row r="448" ht="15.75" customHeight="1">
      <c r="A448" s="94"/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  <c r="AB448" s="94"/>
      <c r="AC448" s="94"/>
    </row>
    <row r="449" ht="15.75" customHeight="1">
      <c r="A449" s="94"/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4"/>
      <c r="AB449" s="94"/>
      <c r="AC449" s="94"/>
    </row>
    <row r="450" ht="15.75" customHeight="1">
      <c r="A450" s="94"/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  <c r="AB450" s="94"/>
      <c r="AC450" s="94"/>
    </row>
    <row r="451" ht="15.75" customHeight="1">
      <c r="A451" s="94"/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  <c r="AB451" s="94"/>
      <c r="AC451" s="94"/>
    </row>
    <row r="452" ht="15.75" customHeight="1">
      <c r="A452" s="94"/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  <c r="AB452" s="94"/>
      <c r="AC452" s="94"/>
    </row>
    <row r="453" ht="15.75" customHeight="1">
      <c r="A453" s="94"/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4"/>
      <c r="AB453" s="94"/>
      <c r="AC453" s="94"/>
    </row>
    <row r="454" ht="15.75" customHeight="1">
      <c r="A454" s="94"/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4"/>
      <c r="AB454" s="94"/>
      <c r="AC454" s="94"/>
    </row>
    <row r="455" ht="15.75" customHeight="1">
      <c r="A455" s="94"/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  <c r="AB455" s="94"/>
      <c r="AC455" s="94"/>
    </row>
    <row r="456" ht="15.75" customHeight="1">
      <c r="A456" s="94"/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  <c r="AB456" s="94"/>
      <c r="AC456" s="94"/>
    </row>
    <row r="457" ht="15.75" customHeight="1">
      <c r="A457" s="94"/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4"/>
      <c r="AB457" s="94"/>
      <c r="AC457" s="94"/>
    </row>
    <row r="458" ht="15.75" customHeight="1">
      <c r="A458" s="94"/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  <c r="AB458" s="94"/>
      <c r="AC458" s="94"/>
    </row>
    <row r="459" ht="15.75" customHeight="1">
      <c r="A459" s="94"/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  <c r="AB459" s="94"/>
      <c r="AC459" s="94"/>
    </row>
    <row r="460" ht="15.75" customHeight="1">
      <c r="A460" s="94"/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  <c r="AB460" s="94"/>
      <c r="AC460" s="94"/>
    </row>
    <row r="461" ht="15.75" customHeight="1">
      <c r="A461" s="94"/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4"/>
      <c r="AB461" s="94"/>
      <c r="AC461" s="94"/>
    </row>
    <row r="462" ht="15.75" customHeight="1">
      <c r="A462" s="94"/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4"/>
      <c r="AB462" s="94"/>
      <c r="AC462" s="94"/>
    </row>
    <row r="463" ht="15.75" customHeight="1">
      <c r="A463" s="94"/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  <c r="AB463" s="94"/>
      <c r="AC463" s="94"/>
    </row>
    <row r="464" ht="15.75" customHeight="1">
      <c r="A464" s="94"/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4"/>
      <c r="AB464" s="94"/>
      <c r="AC464" s="94"/>
    </row>
    <row r="465" ht="15.75" customHeight="1">
      <c r="A465" s="94"/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4"/>
      <c r="AB465" s="94"/>
      <c r="AC465" s="94"/>
    </row>
    <row r="466" ht="15.75" customHeight="1">
      <c r="A466" s="94"/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94"/>
      <c r="AB466" s="94"/>
      <c r="AC466" s="94"/>
    </row>
    <row r="467" ht="15.75" customHeight="1">
      <c r="A467" s="94"/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4"/>
      <c r="AB467" s="94"/>
      <c r="AC467" s="94"/>
    </row>
    <row r="468" ht="15.75" customHeight="1">
      <c r="A468" s="94"/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4"/>
      <c r="AB468" s="94"/>
      <c r="AC468" s="94"/>
    </row>
    <row r="469" ht="15.75" customHeight="1">
      <c r="A469" s="94"/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  <c r="AB469" s="94"/>
      <c r="AC469" s="94"/>
    </row>
    <row r="470" ht="15.75" customHeight="1">
      <c r="A470" s="94"/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</row>
    <row r="471" ht="15.75" customHeight="1">
      <c r="A471" s="94"/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4"/>
      <c r="AB471" s="94"/>
      <c r="AC471" s="94"/>
    </row>
    <row r="472" ht="15.75" customHeight="1">
      <c r="A472" s="94"/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4"/>
      <c r="AB472" s="94"/>
      <c r="AC472" s="94"/>
    </row>
    <row r="473" ht="15.75" customHeight="1">
      <c r="A473" s="94"/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  <c r="AB473" s="94"/>
      <c r="AC473" s="94"/>
    </row>
    <row r="474" ht="15.75" customHeight="1">
      <c r="A474" s="94"/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  <c r="AB474" s="94"/>
      <c r="AC474" s="94"/>
    </row>
    <row r="475" ht="15.75" customHeight="1">
      <c r="A475" s="94"/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  <c r="AB475" s="94"/>
      <c r="AC475" s="94"/>
    </row>
    <row r="476" ht="15.75" customHeight="1">
      <c r="A476" s="94"/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  <c r="AB476" s="94"/>
      <c r="AC476" s="94"/>
    </row>
    <row r="477" ht="15.75" customHeight="1">
      <c r="A477" s="94"/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4"/>
      <c r="AB477" s="94"/>
      <c r="AC477" s="94"/>
    </row>
    <row r="478" ht="15.75" customHeight="1">
      <c r="A478" s="94"/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4"/>
      <c r="AB478" s="94"/>
      <c r="AC478" s="94"/>
    </row>
    <row r="479" ht="15.75" customHeight="1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</row>
    <row r="480" ht="15.75" customHeight="1">
      <c r="A480" s="94"/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</row>
    <row r="481" ht="15.75" customHeight="1">
      <c r="A481" s="94"/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</row>
    <row r="482" ht="15.75" customHeight="1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</row>
    <row r="483" ht="15.75" customHeight="1">
      <c r="A483" s="94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</row>
    <row r="484" ht="15.75" customHeight="1">
      <c r="A484" s="94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</row>
    <row r="485" ht="15.75" customHeight="1">
      <c r="A485" s="94"/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</row>
    <row r="486" ht="15.75" customHeight="1">
      <c r="A486" s="94"/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</row>
    <row r="487" ht="15.75" customHeight="1">
      <c r="A487" s="94"/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</row>
    <row r="488" ht="15.75" customHeight="1">
      <c r="A488" s="94"/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</row>
    <row r="489" ht="15.75" customHeight="1">
      <c r="A489" s="94"/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</row>
    <row r="490" ht="15.75" customHeight="1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</row>
    <row r="491" ht="15.75" customHeight="1">
      <c r="A491" s="94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</row>
    <row r="492" ht="15.75" customHeight="1">
      <c r="A492" s="94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</row>
    <row r="493" ht="15.75" customHeight="1">
      <c r="A493" s="94"/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</row>
    <row r="494" ht="15.75" customHeight="1">
      <c r="A494" s="94"/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</row>
    <row r="495" ht="15.75" customHeight="1">
      <c r="A495" s="94"/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</row>
    <row r="496" ht="15.75" customHeight="1">
      <c r="A496" s="94"/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4"/>
      <c r="AB496" s="94"/>
      <c r="AC496" s="94"/>
    </row>
    <row r="497" ht="15.75" customHeight="1">
      <c r="A497" s="94"/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94"/>
      <c r="AB497" s="94"/>
      <c r="AC497" s="94"/>
    </row>
    <row r="498" ht="15.75" customHeight="1">
      <c r="A498" s="94"/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4"/>
      <c r="AB498" s="94"/>
      <c r="AC498" s="94"/>
    </row>
    <row r="499" ht="15.75" customHeight="1">
      <c r="A499" s="94"/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4"/>
      <c r="AB499" s="94"/>
      <c r="AC499" s="94"/>
    </row>
    <row r="500" ht="15.75" customHeight="1">
      <c r="A500" s="94"/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4"/>
      <c r="AB500" s="94"/>
      <c r="AC500" s="94"/>
    </row>
    <row r="501" ht="15.75" customHeight="1">
      <c r="A501" s="94"/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/>
      <c r="AC501" s="94"/>
    </row>
    <row r="502" ht="15.75" customHeight="1">
      <c r="A502" s="94"/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  <c r="AB502" s="94"/>
      <c r="AC502" s="94"/>
    </row>
    <row r="503" ht="15.75" customHeight="1">
      <c r="A503" s="94"/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4"/>
      <c r="AB503" s="94"/>
      <c r="AC503" s="94"/>
    </row>
    <row r="504" ht="15.75" customHeight="1">
      <c r="A504" s="94"/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  <c r="AB504" s="94"/>
      <c r="AC504" s="94"/>
    </row>
    <row r="505" ht="15.75" customHeight="1">
      <c r="A505" s="94"/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4"/>
      <c r="AB505" s="94"/>
      <c r="AC505" s="94"/>
    </row>
    <row r="506" ht="15.75" customHeight="1">
      <c r="A506" s="94"/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94"/>
      <c r="AB506" s="94"/>
      <c r="AC506" s="94"/>
    </row>
    <row r="507" ht="15.75" customHeight="1">
      <c r="A507" s="94"/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4"/>
      <c r="AB507" s="94"/>
      <c r="AC507" s="94"/>
    </row>
    <row r="508" ht="15.75" customHeight="1">
      <c r="A508" s="94"/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4"/>
      <c r="AB508" s="94"/>
      <c r="AC508" s="94"/>
    </row>
    <row r="509" ht="15.75" customHeight="1">
      <c r="A509" s="94"/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4"/>
      <c r="AB509" s="94"/>
      <c r="AC509" s="94"/>
    </row>
    <row r="510" ht="15.75" customHeight="1">
      <c r="A510" s="94"/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4"/>
      <c r="AB510" s="94"/>
      <c r="AC510" s="94"/>
    </row>
    <row r="511" ht="15.75" customHeight="1">
      <c r="A511" s="94"/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4"/>
      <c r="AB511" s="94"/>
      <c r="AC511" s="94"/>
    </row>
    <row r="512" ht="15.75" customHeight="1">
      <c r="A512" s="94"/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4"/>
      <c r="AB512" s="94"/>
      <c r="AC512" s="94"/>
    </row>
    <row r="513" ht="15.75" customHeight="1">
      <c r="A513" s="94"/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4"/>
      <c r="AB513" s="94"/>
      <c r="AC513" s="94"/>
    </row>
    <row r="514" ht="15.75" customHeight="1">
      <c r="A514" s="94"/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4"/>
      <c r="AB514" s="94"/>
      <c r="AC514" s="94"/>
    </row>
    <row r="515" ht="15.7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4"/>
      <c r="AB515" s="94"/>
      <c r="AC515" s="94"/>
    </row>
    <row r="516" ht="15.75" customHeight="1">
      <c r="A516" s="94"/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4"/>
      <c r="AB516" s="94"/>
      <c r="AC516" s="94"/>
    </row>
    <row r="517" ht="15.75" customHeight="1">
      <c r="A517" s="94"/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4"/>
      <c r="AB517" s="94"/>
      <c r="AC517" s="94"/>
    </row>
    <row r="518" ht="15.75" customHeight="1">
      <c r="A518" s="94"/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4"/>
      <c r="AB518" s="94"/>
      <c r="AC518" s="94"/>
    </row>
    <row r="519" ht="15.75" customHeight="1">
      <c r="A519" s="94"/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4"/>
      <c r="AB519" s="94"/>
      <c r="AC519" s="94"/>
    </row>
    <row r="520" ht="15.75" customHeight="1">
      <c r="A520" s="94"/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  <c r="AB520" s="94"/>
      <c r="AC520" s="94"/>
    </row>
    <row r="521" ht="15.75" customHeight="1">
      <c r="A521" s="94"/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4"/>
      <c r="AB521" s="94"/>
      <c r="AC521" s="94"/>
    </row>
    <row r="522" ht="15.75" customHeight="1">
      <c r="A522" s="94"/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</row>
    <row r="523" ht="15.75" customHeight="1">
      <c r="A523" s="94"/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  <c r="AB523" s="94"/>
      <c r="AC523" s="94"/>
    </row>
    <row r="524" ht="15.75" customHeight="1">
      <c r="A524" s="94"/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  <c r="AB524" s="94"/>
      <c r="AC524" s="94"/>
    </row>
    <row r="525" ht="15.75" customHeight="1">
      <c r="A525" s="94"/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  <c r="AB525" s="94"/>
      <c r="AC525" s="94"/>
    </row>
    <row r="526" ht="15.75" customHeight="1">
      <c r="A526" s="94"/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  <c r="AB526" s="94"/>
      <c r="AC526" s="94"/>
    </row>
    <row r="527" ht="15.75" customHeight="1">
      <c r="A527" s="94"/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</row>
    <row r="528" ht="15.75" customHeight="1">
      <c r="A528" s="94"/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4"/>
      <c r="AB528" s="94"/>
      <c r="AC528" s="94"/>
    </row>
    <row r="529" ht="15.75" customHeight="1">
      <c r="A529" s="94"/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  <c r="AB529" s="94"/>
      <c r="AC529" s="94"/>
    </row>
    <row r="530" ht="15.75" customHeight="1">
      <c r="A530" s="94"/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4"/>
      <c r="AB530" s="94"/>
      <c r="AC530" s="94"/>
    </row>
    <row r="531" ht="15.75" customHeight="1">
      <c r="A531" s="94"/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</row>
    <row r="532" ht="15.75" customHeight="1">
      <c r="A532" s="94"/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  <c r="AB532" s="94"/>
      <c r="AC532" s="94"/>
    </row>
    <row r="533" ht="15.75" customHeight="1">
      <c r="A533" s="94"/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</row>
    <row r="534" ht="15.75" customHeight="1">
      <c r="A534" s="94"/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</row>
    <row r="535" ht="15.75" customHeight="1">
      <c r="A535" s="94"/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4"/>
      <c r="AB535" s="94"/>
      <c r="AC535" s="94"/>
    </row>
    <row r="536" ht="15.75" customHeight="1">
      <c r="A536" s="94"/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4"/>
      <c r="AB536" s="94"/>
      <c r="AC536" s="94"/>
    </row>
    <row r="537" ht="15.75" customHeight="1">
      <c r="A537" s="94"/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94"/>
      <c r="AB537" s="94"/>
      <c r="AC537" s="94"/>
    </row>
    <row r="538" ht="15.75" customHeight="1">
      <c r="A538" s="94"/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4"/>
      <c r="AB538" s="94"/>
      <c r="AC538" s="94"/>
    </row>
    <row r="539" ht="15.75" customHeight="1">
      <c r="A539" s="94"/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4"/>
      <c r="AB539" s="94"/>
      <c r="AC539" s="94"/>
    </row>
    <row r="540" ht="15.75" customHeight="1">
      <c r="A540" s="94"/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94"/>
      <c r="AB540" s="94"/>
      <c r="AC540" s="94"/>
    </row>
    <row r="541" ht="15.75" customHeight="1">
      <c r="A541" s="94"/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4"/>
      <c r="AB541" s="94"/>
      <c r="AC541" s="94"/>
    </row>
    <row r="542" ht="15.75" customHeight="1">
      <c r="A542" s="94"/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4"/>
      <c r="AB542" s="94"/>
      <c r="AC542" s="94"/>
    </row>
    <row r="543" ht="15.75" customHeight="1">
      <c r="A543" s="94"/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4"/>
      <c r="AB543" s="94"/>
      <c r="AC543" s="94"/>
    </row>
    <row r="544" ht="15.75" customHeight="1">
      <c r="A544" s="94"/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4"/>
      <c r="AB544" s="94"/>
      <c r="AC544" s="94"/>
    </row>
    <row r="545" ht="15.75" customHeight="1">
      <c r="A545" s="94"/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  <c r="AB545" s="94"/>
      <c r="AC545" s="94"/>
    </row>
    <row r="546" ht="15.75" customHeight="1">
      <c r="A546" s="94"/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4"/>
      <c r="AB546" s="94"/>
      <c r="AC546" s="94"/>
    </row>
    <row r="547" ht="15.75" customHeight="1">
      <c r="A547" s="94"/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4"/>
      <c r="AB547" s="94"/>
      <c r="AC547" s="94"/>
    </row>
    <row r="548" ht="15.75" customHeight="1">
      <c r="A548" s="94"/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  <c r="AA548" s="94"/>
      <c r="AB548" s="94"/>
      <c r="AC548" s="94"/>
    </row>
    <row r="549" ht="15.75" customHeight="1">
      <c r="A549" s="94"/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94"/>
      <c r="AB549" s="94"/>
      <c r="AC549" s="94"/>
    </row>
    <row r="550" ht="15.75" customHeight="1">
      <c r="A550" s="94"/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94"/>
      <c r="AB550" s="94"/>
      <c r="AC550" s="94"/>
    </row>
    <row r="551" ht="15.75" customHeight="1">
      <c r="A551" s="94"/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4"/>
      <c r="AB551" s="94"/>
      <c r="AC551" s="94"/>
    </row>
    <row r="552" ht="15.75" customHeight="1">
      <c r="A552" s="94"/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4"/>
      <c r="AB552" s="94"/>
      <c r="AC552" s="94"/>
    </row>
    <row r="553" ht="15.75" customHeight="1">
      <c r="A553" s="94"/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94"/>
      <c r="AB553" s="94"/>
      <c r="AC553" s="94"/>
    </row>
    <row r="554" ht="15.75" customHeight="1">
      <c r="A554" s="94"/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4"/>
      <c r="AB554" s="94"/>
      <c r="AC554" s="94"/>
    </row>
    <row r="555" ht="15.75" customHeight="1">
      <c r="A555" s="94"/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4"/>
      <c r="AB555" s="94"/>
      <c r="AC555" s="94"/>
    </row>
    <row r="556" ht="15.75" customHeight="1">
      <c r="A556" s="94"/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94"/>
      <c r="AB556" s="94"/>
      <c r="AC556" s="94"/>
    </row>
    <row r="557" ht="15.75" customHeight="1">
      <c r="A557" s="94"/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4"/>
      <c r="AB557" s="94"/>
      <c r="AC557" s="94"/>
    </row>
    <row r="558" ht="15.75" customHeight="1">
      <c r="A558" s="94"/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4"/>
      <c r="AB558" s="94"/>
      <c r="AC558" s="94"/>
    </row>
    <row r="559" ht="15.75" customHeight="1">
      <c r="A559" s="94"/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4"/>
      <c r="AB559" s="94"/>
      <c r="AC559" s="94"/>
    </row>
    <row r="560" ht="15.75" customHeight="1">
      <c r="A560" s="94"/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4"/>
      <c r="AB560" s="94"/>
      <c r="AC560" s="94"/>
    </row>
    <row r="561" ht="15.75" customHeight="1">
      <c r="A561" s="94"/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4"/>
      <c r="AB561" s="94"/>
      <c r="AC561" s="94"/>
    </row>
    <row r="562" ht="15.75" customHeight="1">
      <c r="A562" s="94"/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4"/>
      <c r="AB562" s="94"/>
      <c r="AC562" s="94"/>
    </row>
    <row r="563" ht="15.75" customHeight="1">
      <c r="A563" s="94"/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4"/>
      <c r="AB563" s="94"/>
      <c r="AC563" s="94"/>
    </row>
    <row r="564" ht="15.75" customHeight="1">
      <c r="A564" s="94"/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94"/>
      <c r="AB564" s="94"/>
      <c r="AC564" s="94"/>
    </row>
    <row r="565" ht="15.75" customHeight="1">
      <c r="A565" s="94"/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94"/>
      <c r="AB565" s="94"/>
      <c r="AC565" s="94"/>
    </row>
    <row r="566" ht="15.75" customHeight="1">
      <c r="A566" s="94"/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94"/>
      <c r="AB566" s="94"/>
      <c r="AC566" s="94"/>
    </row>
    <row r="567" ht="15.75" customHeight="1">
      <c r="A567" s="94"/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4"/>
      <c r="AB567" s="94"/>
      <c r="AC567" s="94"/>
    </row>
    <row r="568" ht="15.75" customHeight="1">
      <c r="A568" s="94"/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94"/>
      <c r="AB568" s="94"/>
      <c r="AC568" s="94"/>
    </row>
    <row r="569" ht="15.75" customHeight="1">
      <c r="A569" s="94"/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94"/>
      <c r="AB569" s="94"/>
      <c r="AC569" s="94"/>
    </row>
    <row r="570" ht="15.75" customHeight="1">
      <c r="A570" s="94"/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94"/>
      <c r="AB570" s="94"/>
      <c r="AC570" s="94"/>
    </row>
    <row r="571" ht="15.75" customHeight="1">
      <c r="A571" s="94"/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4"/>
      <c r="AB571" s="94"/>
      <c r="AC571" s="94"/>
    </row>
    <row r="572" ht="15.75" customHeight="1">
      <c r="A572" s="94"/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4"/>
      <c r="AB572" s="94"/>
      <c r="AC572" s="94"/>
    </row>
    <row r="573" ht="15.75" customHeight="1">
      <c r="A573" s="94"/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4"/>
      <c r="AB573" s="94"/>
      <c r="AC573" s="94"/>
    </row>
    <row r="574" ht="15.75" customHeight="1">
      <c r="A574" s="94"/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4"/>
      <c r="AB574" s="94"/>
      <c r="AC574" s="94"/>
    </row>
    <row r="575" ht="15.75" customHeight="1">
      <c r="A575" s="94"/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4"/>
      <c r="AB575" s="94"/>
      <c r="AC575" s="94"/>
    </row>
    <row r="576" ht="15.75" customHeight="1">
      <c r="A576" s="94"/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4"/>
      <c r="AB576" s="94"/>
      <c r="AC576" s="94"/>
    </row>
    <row r="577" ht="15.75" customHeight="1">
      <c r="A577" s="94"/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94"/>
      <c r="AB577" s="94"/>
      <c r="AC577" s="94"/>
    </row>
    <row r="578" ht="15.75" customHeight="1">
      <c r="A578" s="94"/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4"/>
      <c r="AB578" s="94"/>
      <c r="AC578" s="94"/>
    </row>
    <row r="579" ht="15.75" customHeight="1">
      <c r="A579" s="94"/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4"/>
      <c r="AB579" s="94"/>
      <c r="AC579" s="94"/>
    </row>
    <row r="580" ht="15.75" customHeight="1">
      <c r="A580" s="94"/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94"/>
      <c r="AB580" s="94"/>
      <c r="AC580" s="94"/>
    </row>
    <row r="581" ht="15.75" customHeight="1">
      <c r="A581" s="94"/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4"/>
      <c r="AB581" s="94"/>
      <c r="AC581" s="94"/>
    </row>
    <row r="582" ht="15.75" customHeight="1">
      <c r="A582" s="94"/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4"/>
      <c r="AB582" s="94"/>
      <c r="AC582" s="94"/>
    </row>
    <row r="583" ht="15.75" customHeight="1">
      <c r="A583" s="94"/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94"/>
      <c r="AB583" s="94"/>
      <c r="AC583" s="94"/>
    </row>
    <row r="584" ht="15.75" customHeight="1">
      <c r="A584" s="94"/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94"/>
      <c r="AB584" s="94"/>
      <c r="AC584" s="94"/>
    </row>
    <row r="585" ht="15.75" customHeight="1">
      <c r="A585" s="94"/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  <c r="AA585" s="94"/>
      <c r="AB585" s="94"/>
      <c r="AC585" s="94"/>
    </row>
    <row r="586" ht="15.75" customHeight="1">
      <c r="A586" s="94"/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94"/>
      <c r="AB586" s="94"/>
      <c r="AC586" s="94"/>
    </row>
    <row r="587" ht="15.75" customHeight="1">
      <c r="A587" s="94"/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94"/>
      <c r="AB587" s="94"/>
      <c r="AC587" s="94"/>
    </row>
    <row r="588" ht="15.75" customHeight="1">
      <c r="A588" s="94"/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4"/>
      <c r="AB588" s="94"/>
      <c r="AC588" s="94"/>
    </row>
    <row r="589" ht="15.75" customHeight="1">
      <c r="A589" s="94"/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94"/>
      <c r="AB589" s="94"/>
      <c r="AC589" s="94"/>
    </row>
    <row r="590" ht="15.75" customHeight="1">
      <c r="A590" s="94"/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4"/>
      <c r="AB590" s="94"/>
      <c r="AC590" s="94"/>
    </row>
    <row r="591" ht="15.75" customHeight="1">
      <c r="A591" s="94"/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4"/>
      <c r="AB591" s="94"/>
      <c r="AC591" s="94"/>
    </row>
    <row r="592" ht="15.75" customHeight="1">
      <c r="A592" s="94"/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4"/>
      <c r="AB592" s="94"/>
      <c r="AC592" s="94"/>
    </row>
    <row r="593" ht="15.75" customHeight="1">
      <c r="A593" s="94"/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  <c r="AA593" s="94"/>
      <c r="AB593" s="94"/>
      <c r="AC593" s="94"/>
    </row>
    <row r="594" ht="15.75" customHeight="1">
      <c r="A594" s="94"/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4"/>
      <c r="AB594" s="94"/>
      <c r="AC594" s="94"/>
    </row>
    <row r="595" ht="15.75" customHeight="1">
      <c r="A595" s="94"/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4"/>
      <c r="AB595" s="94"/>
      <c r="AC595" s="94"/>
    </row>
    <row r="596" ht="15.75" customHeight="1">
      <c r="A596" s="94"/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94"/>
      <c r="AB596" s="94"/>
      <c r="AC596" s="94"/>
    </row>
    <row r="597" ht="15.75" customHeight="1">
      <c r="A597" s="94"/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4"/>
      <c r="AB597" s="94"/>
      <c r="AC597" s="94"/>
    </row>
    <row r="598" ht="15.75" customHeight="1">
      <c r="A598" s="94"/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4"/>
      <c r="AB598" s="94"/>
      <c r="AC598" s="94"/>
    </row>
    <row r="599" ht="15.75" customHeight="1">
      <c r="A599" s="94"/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94"/>
      <c r="AB599" s="94"/>
      <c r="AC599" s="94"/>
    </row>
    <row r="600" ht="15.75" customHeight="1">
      <c r="A600" s="94"/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4"/>
      <c r="AB600" s="94"/>
      <c r="AC600" s="94"/>
    </row>
    <row r="601" ht="15.75" customHeight="1">
      <c r="A601" s="94"/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4"/>
      <c r="AB601" s="94"/>
      <c r="AC601" s="94"/>
    </row>
    <row r="602" ht="15.75" customHeight="1">
      <c r="A602" s="94"/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94"/>
      <c r="AB602" s="94"/>
      <c r="AC602" s="94"/>
    </row>
    <row r="603" ht="15.75" customHeight="1">
      <c r="A603" s="94"/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94"/>
      <c r="AB603" s="94"/>
      <c r="AC603" s="94"/>
    </row>
    <row r="604" ht="15.75" customHeight="1">
      <c r="A604" s="94"/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94"/>
      <c r="AB604" s="94"/>
      <c r="AC604" s="94"/>
    </row>
    <row r="605" ht="15.75" customHeight="1">
      <c r="A605" s="94"/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94"/>
      <c r="AB605" s="94"/>
      <c r="AC605" s="94"/>
    </row>
    <row r="606" ht="15.75" customHeight="1">
      <c r="A606" s="94"/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94"/>
      <c r="AB606" s="94"/>
      <c r="AC606" s="94"/>
    </row>
    <row r="607" ht="15.75" customHeight="1">
      <c r="A607" s="94"/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94"/>
      <c r="AB607" s="94"/>
      <c r="AC607" s="94"/>
    </row>
    <row r="608" ht="15.75" customHeight="1">
      <c r="A608" s="94"/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  <c r="AA608" s="94"/>
      <c r="AB608" s="94"/>
      <c r="AC608" s="94"/>
    </row>
    <row r="609" ht="15.75" customHeight="1">
      <c r="A609" s="94"/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  <c r="AA609" s="94"/>
      <c r="AB609" s="94"/>
      <c r="AC609" s="94"/>
    </row>
    <row r="610" ht="15.75" customHeight="1">
      <c r="A610" s="94"/>
      <c r="B610" s="94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94"/>
      <c r="AB610" s="94"/>
      <c r="AC610" s="94"/>
    </row>
    <row r="611" ht="15.75" customHeight="1">
      <c r="A611" s="94"/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94"/>
      <c r="AB611" s="94"/>
      <c r="AC611" s="94"/>
    </row>
    <row r="612" ht="15.75" customHeight="1">
      <c r="A612" s="94"/>
      <c r="B612" s="94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4"/>
      <c r="AB612" s="94"/>
      <c r="AC612" s="94"/>
    </row>
    <row r="613" ht="15.75" customHeight="1">
      <c r="A613" s="94"/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4"/>
      <c r="AB613" s="94"/>
      <c r="AC613" s="94"/>
    </row>
    <row r="614" ht="15.75" customHeight="1">
      <c r="A614" s="94"/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94"/>
      <c r="AB614" s="94"/>
      <c r="AC614" s="94"/>
    </row>
    <row r="615" ht="15.75" customHeight="1">
      <c r="A615" s="94"/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4"/>
      <c r="AB615" s="94"/>
      <c r="AC615" s="94"/>
    </row>
    <row r="616" ht="15.75" customHeight="1">
      <c r="A616" s="94"/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4"/>
      <c r="AB616" s="94"/>
      <c r="AC616" s="94"/>
    </row>
    <row r="617" ht="15.75" customHeight="1">
      <c r="A617" s="94"/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94"/>
      <c r="AB617" s="94"/>
      <c r="AC617" s="94"/>
    </row>
    <row r="618" ht="15.75" customHeight="1">
      <c r="A618" s="94"/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4"/>
      <c r="AB618" s="94"/>
      <c r="AC618" s="94"/>
    </row>
    <row r="619" ht="15.75" customHeight="1">
      <c r="A619" s="94"/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4"/>
      <c r="AB619" s="94"/>
      <c r="AC619" s="94"/>
    </row>
    <row r="620" ht="15.75" customHeight="1">
      <c r="A620" s="94"/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94"/>
      <c r="AB620" s="94"/>
      <c r="AC620" s="94"/>
    </row>
    <row r="621" ht="15.75" customHeight="1">
      <c r="A621" s="94"/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4"/>
      <c r="AB621" s="94"/>
      <c r="AC621" s="94"/>
    </row>
    <row r="622" ht="15.75" customHeight="1">
      <c r="A622" s="94"/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4"/>
      <c r="AB622" s="94"/>
      <c r="AC622" s="94"/>
    </row>
    <row r="623" ht="15.75" customHeight="1">
      <c r="A623" s="94"/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94"/>
      <c r="AB623" s="94"/>
      <c r="AC623" s="94"/>
    </row>
    <row r="624" ht="15.75" customHeight="1">
      <c r="A624" s="94"/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94"/>
      <c r="AB624" s="94"/>
      <c r="AC624" s="94"/>
    </row>
    <row r="625" ht="15.75" customHeight="1">
      <c r="A625" s="94"/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94"/>
      <c r="AB625" s="94"/>
      <c r="AC625" s="94"/>
    </row>
    <row r="626" ht="15.75" customHeight="1">
      <c r="A626" s="94"/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  <c r="AA626" s="94"/>
      <c r="AB626" s="94"/>
      <c r="AC626" s="94"/>
    </row>
    <row r="627" ht="15.75" customHeight="1">
      <c r="A627" s="94"/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94"/>
      <c r="AB627" s="94"/>
      <c r="AC627" s="94"/>
    </row>
    <row r="628" ht="15.75" customHeight="1">
      <c r="A628" s="94"/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94"/>
      <c r="AB628" s="94"/>
      <c r="AC628" s="94"/>
    </row>
    <row r="629" ht="15.75" customHeight="1">
      <c r="A629" s="94"/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94"/>
      <c r="AB629" s="94"/>
      <c r="AC629" s="94"/>
    </row>
    <row r="630" ht="15.75" customHeight="1">
      <c r="A630" s="94"/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94"/>
      <c r="AB630" s="94"/>
      <c r="AC630" s="94"/>
    </row>
    <row r="631" ht="15.75" customHeight="1">
      <c r="A631" s="94"/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4"/>
      <c r="AB631" s="94"/>
      <c r="AC631" s="94"/>
    </row>
    <row r="632" ht="15.75" customHeight="1">
      <c r="A632" s="94"/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4"/>
      <c r="AB632" s="94"/>
      <c r="AC632" s="94"/>
    </row>
    <row r="633" ht="15.75" customHeight="1">
      <c r="A633" s="94"/>
      <c r="B633" s="94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94"/>
      <c r="AB633" s="94"/>
      <c r="AC633" s="94"/>
    </row>
    <row r="634" ht="15.75" customHeight="1">
      <c r="A634" s="94"/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4"/>
      <c r="AB634" s="94"/>
      <c r="AC634" s="94"/>
    </row>
    <row r="635" ht="15.75" customHeight="1">
      <c r="A635" s="94"/>
      <c r="B635" s="94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4"/>
      <c r="AB635" s="94"/>
      <c r="AC635" s="94"/>
    </row>
    <row r="636" ht="15.75" customHeight="1">
      <c r="A636" s="94"/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94"/>
      <c r="AB636" s="94"/>
      <c r="AC636" s="94"/>
    </row>
    <row r="637" ht="15.75" customHeight="1">
      <c r="A637" s="94"/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4"/>
      <c r="AB637" s="94"/>
      <c r="AC637" s="94"/>
    </row>
    <row r="638" ht="15.75" customHeight="1">
      <c r="A638" s="94"/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4"/>
      <c r="AB638" s="94"/>
      <c r="AC638" s="94"/>
    </row>
    <row r="639" ht="15.75" customHeight="1">
      <c r="A639" s="94"/>
      <c r="B639" s="94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94"/>
      <c r="AB639" s="94"/>
      <c r="AC639" s="94"/>
    </row>
    <row r="640" ht="15.75" customHeight="1">
      <c r="A640" s="94"/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4"/>
      <c r="AB640" s="94"/>
      <c r="AC640" s="94"/>
    </row>
    <row r="641" ht="15.75" customHeight="1">
      <c r="A641" s="94"/>
      <c r="B641" s="94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4"/>
      <c r="AB641" s="94"/>
      <c r="AC641" s="94"/>
    </row>
    <row r="642" ht="15.75" customHeight="1">
      <c r="A642" s="94"/>
      <c r="B642" s="94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94"/>
      <c r="AB642" s="94"/>
      <c r="AC642" s="94"/>
    </row>
    <row r="643" ht="15.75" customHeight="1">
      <c r="A643" s="94"/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  <c r="AA643" s="94"/>
      <c r="AB643" s="94"/>
      <c r="AC643" s="94"/>
    </row>
    <row r="644" ht="15.75" customHeight="1">
      <c r="A644" s="94"/>
      <c r="B644" s="94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94"/>
      <c r="AB644" s="94"/>
      <c r="AC644" s="94"/>
    </row>
    <row r="645" ht="15.75" customHeight="1">
      <c r="A645" s="94"/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94"/>
      <c r="AB645" s="94"/>
      <c r="AC645" s="94"/>
    </row>
    <row r="646" ht="15.75" customHeight="1">
      <c r="A646" s="94"/>
      <c r="B646" s="94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  <c r="AA646" s="94"/>
      <c r="AB646" s="94"/>
      <c r="AC646" s="94"/>
    </row>
    <row r="647" ht="15.75" customHeight="1">
      <c r="A647" s="94"/>
      <c r="B647" s="94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94"/>
      <c r="AB647" s="94"/>
      <c r="AC647" s="94"/>
    </row>
    <row r="648" ht="15.75" customHeight="1">
      <c r="A648" s="94"/>
      <c r="B648" s="94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94"/>
      <c r="AB648" s="94"/>
      <c r="AC648" s="94"/>
    </row>
    <row r="649" ht="15.75" customHeight="1">
      <c r="A649" s="94"/>
      <c r="B649" s="94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  <c r="AA649" s="94"/>
      <c r="AB649" s="94"/>
      <c r="AC649" s="94"/>
    </row>
    <row r="650" ht="15.75" customHeight="1">
      <c r="A650" s="94"/>
      <c r="B650" s="94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94"/>
      <c r="AB650" s="94"/>
      <c r="AC650" s="94"/>
    </row>
    <row r="651" ht="15.75" customHeight="1">
      <c r="A651" s="94"/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94"/>
      <c r="AB651" s="94"/>
      <c r="AC651" s="94"/>
    </row>
    <row r="652" ht="15.75" customHeight="1">
      <c r="A652" s="94"/>
      <c r="B652" s="94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4"/>
      <c r="AB652" s="94"/>
      <c r="AC652" s="94"/>
    </row>
    <row r="653" ht="15.75" customHeight="1">
      <c r="A653" s="94"/>
      <c r="B653" s="94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4"/>
      <c r="AB653" s="94"/>
      <c r="AC653" s="94"/>
    </row>
    <row r="654" ht="15.75" customHeight="1">
      <c r="A654" s="94"/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  <c r="AA654" s="94"/>
      <c r="AB654" s="94"/>
      <c r="AC654" s="94"/>
    </row>
    <row r="655" ht="15.75" customHeight="1">
      <c r="A655" s="94"/>
      <c r="B655" s="94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4"/>
      <c r="AB655" s="94"/>
      <c r="AC655" s="94"/>
    </row>
    <row r="656" ht="15.75" customHeight="1">
      <c r="A656" s="94"/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4"/>
      <c r="AB656" s="94"/>
      <c r="AC656" s="94"/>
    </row>
    <row r="657" ht="15.75" customHeight="1">
      <c r="A657" s="94"/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94"/>
      <c r="AB657" s="94"/>
      <c r="AC657" s="94"/>
    </row>
    <row r="658" ht="15.75" customHeight="1">
      <c r="A658" s="94"/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4"/>
      <c r="AB658" s="94"/>
      <c r="AC658" s="94"/>
    </row>
    <row r="659" ht="15.75" customHeight="1">
      <c r="A659" s="94"/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4"/>
      <c r="AB659" s="94"/>
      <c r="AC659" s="94"/>
    </row>
    <row r="660" ht="15.75" customHeight="1">
      <c r="A660" s="94"/>
      <c r="B660" s="94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94"/>
      <c r="AB660" s="94"/>
      <c r="AC660" s="94"/>
    </row>
    <row r="661" ht="15.75" customHeight="1">
      <c r="A661" s="94"/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4"/>
      <c r="AB661" s="94"/>
      <c r="AC661" s="94"/>
    </row>
    <row r="662" ht="15.75" customHeight="1">
      <c r="A662" s="94"/>
      <c r="B662" s="94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4"/>
      <c r="AB662" s="94"/>
      <c r="AC662" s="94"/>
    </row>
    <row r="663" ht="15.75" customHeight="1">
      <c r="A663" s="94"/>
      <c r="B663" s="94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94"/>
      <c r="AB663" s="94"/>
      <c r="AC663" s="94"/>
    </row>
    <row r="664" ht="15.75" customHeight="1">
      <c r="A664" s="94"/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94"/>
      <c r="AB664" s="94"/>
      <c r="AC664" s="94"/>
    </row>
    <row r="665" ht="15.75" customHeight="1">
      <c r="A665" s="94"/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  <c r="AA665" s="94"/>
      <c r="AB665" s="94"/>
      <c r="AC665" s="94"/>
    </row>
    <row r="666" ht="15.75" customHeight="1">
      <c r="A666" s="94"/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94"/>
      <c r="AB666" s="94"/>
      <c r="AC666" s="94"/>
    </row>
    <row r="667" ht="15.75" customHeight="1">
      <c r="A667" s="94"/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94"/>
      <c r="AB667" s="94"/>
      <c r="AC667" s="94"/>
    </row>
    <row r="668" ht="15.75" customHeight="1">
      <c r="A668" s="94"/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94"/>
      <c r="AB668" s="94"/>
      <c r="AC668" s="94"/>
    </row>
    <row r="669" ht="15.75" customHeight="1">
      <c r="A669" s="94"/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94"/>
      <c r="AB669" s="94"/>
      <c r="AC669" s="94"/>
    </row>
    <row r="670" ht="15.75" customHeight="1">
      <c r="A670" s="94"/>
      <c r="B670" s="94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94"/>
      <c r="AB670" s="94"/>
      <c r="AC670" s="94"/>
    </row>
    <row r="671" ht="15.75" customHeight="1">
      <c r="A671" s="94"/>
      <c r="B671" s="94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4"/>
      <c r="AB671" s="94"/>
      <c r="AC671" s="94"/>
    </row>
    <row r="672" ht="15.75" customHeight="1">
      <c r="A672" s="94"/>
      <c r="B672" s="94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4"/>
      <c r="AB672" s="94"/>
      <c r="AC672" s="94"/>
    </row>
    <row r="673" ht="15.75" customHeight="1">
      <c r="A673" s="94"/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4"/>
      <c r="AB673" s="94"/>
      <c r="AC673" s="94"/>
    </row>
    <row r="674" ht="15.75" customHeight="1">
      <c r="A674" s="94"/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4"/>
      <c r="AB674" s="94"/>
      <c r="AC674" s="94"/>
    </row>
    <row r="675" ht="15.75" customHeight="1">
      <c r="A675" s="94"/>
      <c r="B675" s="94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4"/>
      <c r="AB675" s="94"/>
      <c r="AC675" s="94"/>
    </row>
    <row r="676" ht="15.75" customHeight="1">
      <c r="A676" s="94"/>
      <c r="B676" s="94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4"/>
      <c r="AB676" s="94"/>
      <c r="AC676" s="94"/>
    </row>
    <row r="677" ht="15.75" customHeight="1">
      <c r="A677" s="94"/>
      <c r="B677" s="94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4"/>
      <c r="AB677" s="94"/>
      <c r="AC677" s="94"/>
    </row>
    <row r="678" ht="15.75" customHeight="1">
      <c r="A678" s="94"/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4"/>
      <c r="AB678" s="94"/>
      <c r="AC678" s="94"/>
    </row>
    <row r="679" ht="15.75" customHeight="1">
      <c r="A679" s="94"/>
      <c r="B679" s="94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  <c r="AA679" s="94"/>
      <c r="AB679" s="94"/>
      <c r="AC679" s="94"/>
    </row>
    <row r="680" ht="15.75" customHeight="1">
      <c r="A680" s="94"/>
      <c r="B680" s="94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4"/>
      <c r="AB680" s="94"/>
      <c r="AC680" s="94"/>
    </row>
    <row r="681" ht="15.75" customHeight="1">
      <c r="A681" s="94"/>
      <c r="B681" s="94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4"/>
      <c r="AB681" s="94"/>
      <c r="AC681" s="94"/>
    </row>
    <row r="682" ht="15.75" customHeight="1">
      <c r="A682" s="94"/>
      <c r="B682" s="94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94"/>
      <c r="AB682" s="94"/>
      <c r="AC682" s="94"/>
    </row>
    <row r="683" ht="15.75" customHeight="1">
      <c r="A683" s="94"/>
      <c r="B683" s="94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94"/>
      <c r="AB683" s="94"/>
      <c r="AC683" s="94"/>
    </row>
    <row r="684" ht="15.75" customHeight="1">
      <c r="A684" s="94"/>
      <c r="B684" s="94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4"/>
      <c r="AB684" s="94"/>
      <c r="AC684" s="94"/>
    </row>
    <row r="685" ht="15.75" customHeight="1">
      <c r="A685" s="94"/>
      <c r="B685" s="94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94"/>
      <c r="AB685" s="94"/>
      <c r="AC685" s="94"/>
    </row>
    <row r="686" ht="15.75" customHeight="1">
      <c r="A686" s="94"/>
      <c r="B686" s="94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94"/>
      <c r="AB686" s="94"/>
      <c r="AC686" s="94"/>
    </row>
    <row r="687" ht="15.75" customHeight="1">
      <c r="A687" s="94"/>
      <c r="B687" s="94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94"/>
      <c r="AB687" s="94"/>
      <c r="AC687" s="94"/>
    </row>
    <row r="688" ht="15.75" customHeight="1">
      <c r="A688" s="94"/>
      <c r="B688" s="94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94"/>
      <c r="AB688" s="94"/>
      <c r="AC688" s="94"/>
    </row>
    <row r="689" ht="15.75" customHeight="1">
      <c r="A689" s="94"/>
      <c r="B689" s="94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94"/>
      <c r="AB689" s="94"/>
      <c r="AC689" s="94"/>
    </row>
    <row r="690" ht="15.75" customHeight="1">
      <c r="A690" s="94"/>
      <c r="B690" s="94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4"/>
      <c r="AB690" s="94"/>
      <c r="AC690" s="94"/>
    </row>
    <row r="691" ht="15.75" customHeight="1">
      <c r="A691" s="94"/>
      <c r="B691" s="94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4"/>
      <c r="AB691" s="94"/>
      <c r="AC691" s="94"/>
    </row>
    <row r="692" ht="15.75" customHeight="1">
      <c r="A692" s="94"/>
      <c r="B692" s="94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4"/>
      <c r="AB692" s="94"/>
      <c r="AC692" s="94"/>
    </row>
    <row r="693" ht="15.75" customHeight="1">
      <c r="A693" s="94"/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4"/>
      <c r="AB693" s="94"/>
      <c r="AC693" s="94"/>
    </row>
    <row r="694" ht="15.75" customHeight="1">
      <c r="A694" s="94"/>
      <c r="B694" s="94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4"/>
      <c r="AB694" s="94"/>
      <c r="AC694" s="94"/>
    </row>
    <row r="695" ht="15.75" customHeight="1">
      <c r="A695" s="94"/>
      <c r="B695" s="94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4"/>
      <c r="AB695" s="94"/>
      <c r="AC695" s="94"/>
    </row>
    <row r="696" ht="15.75" customHeight="1">
      <c r="A696" s="94"/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4"/>
      <c r="AB696" s="94"/>
      <c r="AC696" s="94"/>
    </row>
    <row r="697" ht="15.75" customHeight="1">
      <c r="A697" s="94"/>
      <c r="B697" s="94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4"/>
      <c r="AB697" s="94"/>
      <c r="AC697" s="94"/>
    </row>
    <row r="698" ht="15.75" customHeight="1">
      <c r="A698" s="94"/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4"/>
      <c r="AB698" s="94"/>
      <c r="AC698" s="94"/>
    </row>
    <row r="699" ht="15.75" customHeight="1">
      <c r="A699" s="94"/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4"/>
      <c r="AB699" s="94"/>
      <c r="AC699" s="94"/>
    </row>
    <row r="700" ht="15.75" customHeight="1">
      <c r="A700" s="94"/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4"/>
      <c r="AB700" s="94"/>
      <c r="AC700" s="94"/>
    </row>
    <row r="701" ht="15.75" customHeight="1">
      <c r="A701" s="94"/>
      <c r="B701" s="94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4"/>
      <c r="AB701" s="94"/>
      <c r="AC701" s="94"/>
    </row>
    <row r="702" ht="15.75" customHeight="1">
      <c r="A702" s="94"/>
      <c r="B702" s="94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4"/>
      <c r="AB702" s="94"/>
      <c r="AC702" s="94"/>
    </row>
    <row r="703" ht="15.75" customHeight="1">
      <c r="A703" s="94"/>
      <c r="B703" s="94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4"/>
      <c r="AB703" s="94"/>
      <c r="AC703" s="94"/>
    </row>
    <row r="704" ht="15.75" customHeight="1">
      <c r="A704" s="94"/>
      <c r="B704" s="94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4"/>
      <c r="AB704" s="94"/>
      <c r="AC704" s="94"/>
    </row>
    <row r="705" ht="15.75" customHeight="1">
      <c r="A705" s="94"/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</row>
    <row r="706" ht="15.75" customHeight="1">
      <c r="A706" s="94"/>
      <c r="B706" s="94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  <c r="AB706" s="94"/>
      <c r="AC706" s="94"/>
    </row>
    <row r="707" ht="15.75" customHeight="1">
      <c r="A707" s="94"/>
      <c r="B707" s="94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94"/>
    </row>
    <row r="708" ht="15.75" customHeight="1">
      <c r="A708" s="94"/>
      <c r="B708" s="94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</row>
    <row r="709" ht="15.75" customHeight="1">
      <c r="A709" s="94"/>
      <c r="B709" s="94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</row>
    <row r="710" ht="15.75" customHeight="1">
      <c r="A710" s="94"/>
      <c r="B710" s="94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94"/>
      <c r="AB710" s="94"/>
      <c r="AC710" s="94"/>
    </row>
    <row r="711" ht="15.75" customHeight="1">
      <c r="A711" s="94"/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  <c r="AB711" s="94"/>
      <c r="AC711" s="94"/>
    </row>
    <row r="712" ht="15.75" customHeight="1">
      <c r="A712" s="94"/>
      <c r="B712" s="94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</row>
    <row r="713" ht="15.75" customHeight="1">
      <c r="A713" s="94"/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4"/>
      <c r="AB713" s="94"/>
      <c r="AC713" s="94"/>
    </row>
    <row r="714" ht="15.75" customHeight="1">
      <c r="A714" s="94"/>
      <c r="B714" s="94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4"/>
      <c r="AB714" s="94"/>
      <c r="AC714" s="94"/>
    </row>
    <row r="715" ht="15.75" customHeight="1">
      <c r="A715" s="94"/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4"/>
      <c r="AB715" s="94"/>
      <c r="AC715" s="94"/>
    </row>
    <row r="716" ht="15.75" customHeight="1">
      <c r="A716" s="94"/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4"/>
      <c r="AB716" s="94"/>
      <c r="AC716" s="94"/>
    </row>
    <row r="717" ht="15.75" customHeight="1">
      <c r="A717" s="94"/>
      <c r="B717" s="94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4"/>
      <c r="AB717" s="94"/>
      <c r="AC717" s="94"/>
    </row>
    <row r="718" ht="15.75" customHeight="1">
      <c r="A718" s="94"/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4"/>
      <c r="AB718" s="94"/>
      <c r="AC718" s="94"/>
    </row>
    <row r="719" ht="15.75" customHeight="1">
      <c r="A719" s="94"/>
      <c r="B719" s="94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4"/>
      <c r="AB719" s="94"/>
      <c r="AC719" s="94"/>
    </row>
    <row r="720" ht="15.75" customHeight="1">
      <c r="A720" s="94"/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4"/>
      <c r="AB720" s="94"/>
      <c r="AC720" s="94"/>
    </row>
    <row r="721" ht="15.75" customHeight="1">
      <c r="A721" s="94"/>
      <c r="B721" s="94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4"/>
      <c r="AB721" s="94"/>
      <c r="AC721" s="94"/>
    </row>
    <row r="722" ht="15.75" customHeight="1">
      <c r="A722" s="94"/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94"/>
      <c r="AB722" s="94"/>
      <c r="AC722" s="94"/>
    </row>
    <row r="723" ht="15.75" customHeight="1">
      <c r="A723" s="94"/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4"/>
      <c r="AB723" s="94"/>
      <c r="AC723" s="94"/>
    </row>
    <row r="724" ht="15.75" customHeight="1">
      <c r="A724" s="94"/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4"/>
      <c r="AB724" s="94"/>
      <c r="AC724" s="94"/>
    </row>
    <row r="725" ht="15.75" customHeight="1">
      <c r="A725" s="94"/>
      <c r="B725" s="94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4"/>
      <c r="AB725" s="94"/>
      <c r="AC725" s="94"/>
    </row>
    <row r="726" ht="15.75" customHeight="1">
      <c r="A726" s="94"/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94"/>
      <c r="AB726" s="94"/>
      <c r="AC726" s="94"/>
    </row>
    <row r="727" ht="15.75" customHeight="1">
      <c r="A727" s="94"/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4"/>
      <c r="AB727" s="94"/>
      <c r="AC727" s="94"/>
    </row>
    <row r="728" ht="15.75" customHeight="1">
      <c r="A728" s="94"/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4"/>
      <c r="AB728" s="94"/>
      <c r="AC728" s="94"/>
    </row>
    <row r="729" ht="15.75" customHeight="1">
      <c r="A729" s="94"/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4"/>
      <c r="AB729" s="94"/>
      <c r="AC729" s="94"/>
    </row>
    <row r="730" ht="15.75" customHeight="1">
      <c r="A730" s="94"/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94"/>
      <c r="AB730" s="94"/>
      <c r="AC730" s="94"/>
    </row>
    <row r="731" ht="15.75" customHeight="1">
      <c r="A731" s="94"/>
      <c r="B731" s="94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94"/>
      <c r="AB731" s="94"/>
      <c r="AC731" s="94"/>
    </row>
    <row r="732" ht="15.75" customHeight="1">
      <c r="A732" s="94"/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4"/>
      <c r="AB732" s="94"/>
      <c r="AC732" s="94"/>
    </row>
    <row r="733" ht="15.75" customHeight="1">
      <c r="A733" s="94"/>
      <c r="B733" s="94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4"/>
      <c r="AB733" s="94"/>
      <c r="AC733" s="94"/>
    </row>
    <row r="734" ht="15.75" customHeight="1">
      <c r="A734" s="94"/>
      <c r="B734" s="94"/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94"/>
      <c r="AB734" s="94"/>
      <c r="AC734" s="94"/>
    </row>
    <row r="735" ht="15.75" customHeight="1">
      <c r="A735" s="94"/>
      <c r="B735" s="94"/>
      <c r="C735" s="94"/>
      <c r="D735" s="94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4"/>
      <c r="AB735" s="94"/>
      <c r="AC735" s="94"/>
    </row>
    <row r="736" ht="15.75" customHeight="1">
      <c r="A736" s="94"/>
      <c r="B736" s="94"/>
      <c r="C736" s="94"/>
      <c r="D736" s="94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4"/>
      <c r="AB736" s="94"/>
      <c r="AC736" s="94"/>
    </row>
    <row r="737" ht="15.75" customHeight="1">
      <c r="A737" s="94"/>
      <c r="B737" s="94"/>
      <c r="C737" s="94"/>
      <c r="D737" s="94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94"/>
      <c r="AB737" s="94"/>
      <c r="AC737" s="94"/>
    </row>
    <row r="738" ht="15.75" customHeight="1">
      <c r="A738" s="94"/>
      <c r="B738" s="94"/>
      <c r="C738" s="94"/>
      <c r="D738" s="94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4"/>
      <c r="AB738" s="94"/>
      <c r="AC738" s="94"/>
    </row>
    <row r="739" ht="15.75" customHeight="1">
      <c r="A739" s="94"/>
      <c r="B739" s="94"/>
      <c r="C739" s="94"/>
      <c r="D739" s="94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</row>
    <row r="740" ht="15.75" customHeight="1">
      <c r="A740" s="94"/>
      <c r="B740" s="94"/>
      <c r="C740" s="94"/>
      <c r="D740" s="94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</row>
    <row r="741" ht="15.75" customHeight="1">
      <c r="A741" s="94"/>
      <c r="B741" s="94"/>
      <c r="C741" s="94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</row>
    <row r="742" ht="15.75" customHeight="1">
      <c r="A742" s="94"/>
      <c r="B742" s="94"/>
      <c r="C742" s="94"/>
      <c r="D742" s="94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</row>
    <row r="743" ht="15.75" customHeight="1">
      <c r="A743" s="94"/>
      <c r="B743" s="94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</row>
    <row r="744" ht="15.75" customHeight="1">
      <c r="A744" s="94"/>
      <c r="B744" s="94"/>
      <c r="C744" s="94"/>
      <c r="D744" s="94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</row>
    <row r="745" ht="15.75" customHeight="1">
      <c r="A745" s="94"/>
      <c r="B745" s="94"/>
      <c r="C745" s="94"/>
      <c r="D745" s="94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</row>
    <row r="746" ht="15.75" customHeight="1">
      <c r="A746" s="94"/>
      <c r="B746" s="94"/>
      <c r="C746" s="94"/>
      <c r="D746" s="94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</row>
    <row r="747" ht="15.75" customHeight="1">
      <c r="A747" s="94"/>
      <c r="B747" s="94"/>
      <c r="C747" s="94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</row>
    <row r="748" ht="15.75" customHeight="1">
      <c r="A748" s="94"/>
      <c r="B748" s="94"/>
      <c r="C748" s="94"/>
      <c r="D748" s="94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</row>
    <row r="749" ht="15.75" customHeight="1">
      <c r="A749" s="94"/>
      <c r="B749" s="94"/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</row>
    <row r="750" ht="15.75" customHeight="1">
      <c r="A750" s="94"/>
      <c r="B750" s="94"/>
      <c r="C750" s="94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</row>
    <row r="751" ht="15.75" customHeight="1">
      <c r="A751" s="94"/>
      <c r="B751" s="94"/>
      <c r="C751" s="94"/>
      <c r="D751" s="94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</row>
    <row r="752" ht="15.75" customHeight="1">
      <c r="A752" s="94"/>
      <c r="B752" s="94"/>
      <c r="C752" s="94"/>
      <c r="D752" s="94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</row>
    <row r="753" ht="15.75" customHeight="1">
      <c r="A753" s="94"/>
      <c r="B753" s="94"/>
      <c r="C753" s="94"/>
      <c r="D753" s="94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</row>
    <row r="754" ht="15.75" customHeight="1">
      <c r="A754" s="94"/>
      <c r="B754" s="94"/>
      <c r="C754" s="94"/>
      <c r="D754" s="94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</row>
    <row r="755" ht="15.75" customHeight="1">
      <c r="A755" s="94"/>
      <c r="B755" s="94"/>
      <c r="C755" s="94"/>
      <c r="D755" s="94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</row>
    <row r="756" ht="15.75" customHeight="1">
      <c r="A756" s="94"/>
      <c r="B756" s="94"/>
      <c r="C756" s="94"/>
      <c r="D756" s="94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</row>
    <row r="757" ht="15.75" customHeight="1">
      <c r="A757" s="94"/>
      <c r="B757" s="94"/>
      <c r="C757" s="94"/>
      <c r="D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</row>
    <row r="758" ht="15.75" customHeight="1">
      <c r="A758" s="94"/>
      <c r="B758" s="94"/>
      <c r="C758" s="94"/>
      <c r="D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</row>
    <row r="759" ht="15.75" customHeight="1">
      <c r="A759" s="94"/>
      <c r="B759" s="94"/>
      <c r="C759" s="94"/>
      <c r="D759" s="94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</row>
    <row r="760" ht="15.75" customHeight="1">
      <c r="A760" s="94"/>
      <c r="B760" s="94"/>
      <c r="C760" s="94"/>
      <c r="D760" s="94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</row>
    <row r="761" ht="15.75" customHeight="1">
      <c r="A761" s="94"/>
      <c r="B761" s="94"/>
      <c r="C761" s="94"/>
      <c r="D761" s="94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</row>
    <row r="762" ht="15.75" customHeight="1">
      <c r="A762" s="94"/>
      <c r="B762" s="94"/>
      <c r="C762" s="94"/>
      <c r="D762" s="94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</row>
    <row r="763" ht="15.75" customHeight="1">
      <c r="A763" s="94"/>
      <c r="B763" s="94"/>
      <c r="C763" s="94"/>
      <c r="D763" s="94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</row>
    <row r="764" ht="15.75" customHeight="1">
      <c r="A764" s="94"/>
      <c r="B764" s="94"/>
      <c r="C764" s="94"/>
      <c r="D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</row>
    <row r="765" ht="15.75" customHeight="1">
      <c r="A765" s="94"/>
      <c r="B765" s="94"/>
      <c r="C765" s="94"/>
      <c r="D765" s="94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</row>
    <row r="766" ht="15.75" customHeight="1">
      <c r="A766" s="94"/>
      <c r="B766" s="94"/>
      <c r="C766" s="94"/>
      <c r="D766" s="94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</row>
    <row r="767" ht="15.75" customHeight="1">
      <c r="A767" s="94"/>
      <c r="B767" s="94"/>
      <c r="C767" s="94"/>
      <c r="D767" s="94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</row>
    <row r="768" ht="15.75" customHeight="1">
      <c r="A768" s="94"/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</row>
    <row r="769" ht="15.75" customHeight="1">
      <c r="A769" s="94"/>
      <c r="B769" s="94"/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</row>
    <row r="770" ht="15.75" customHeight="1">
      <c r="A770" s="94"/>
      <c r="B770" s="94"/>
      <c r="C770" s="94"/>
      <c r="D770" s="94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</row>
    <row r="771" ht="15.75" customHeight="1">
      <c r="A771" s="94"/>
      <c r="B771" s="94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</row>
    <row r="772" ht="15.75" customHeight="1">
      <c r="A772" s="94"/>
      <c r="B772" s="94"/>
      <c r="C772" s="94"/>
      <c r="D772" s="94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</row>
    <row r="773" ht="15.75" customHeight="1">
      <c r="A773" s="94"/>
      <c r="B773" s="94"/>
      <c r="C773" s="94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</row>
    <row r="774" ht="15.75" customHeight="1">
      <c r="A774" s="94"/>
      <c r="B774" s="94"/>
      <c r="C774" s="94"/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</row>
    <row r="775" ht="15.75" customHeight="1">
      <c r="A775" s="94"/>
      <c r="B775" s="94"/>
      <c r="C775" s="94"/>
      <c r="D775" s="94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</row>
    <row r="776" ht="15.75" customHeight="1">
      <c r="A776" s="94"/>
      <c r="B776" s="94"/>
      <c r="C776" s="94"/>
      <c r="D776" s="94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</row>
    <row r="777" ht="15.75" customHeight="1">
      <c r="A777" s="94"/>
      <c r="B777" s="94"/>
      <c r="C777" s="94"/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</row>
    <row r="778" ht="15.75" customHeight="1">
      <c r="A778" s="94"/>
      <c r="B778" s="94"/>
      <c r="C778" s="94"/>
      <c r="D778" s="94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</row>
    <row r="779" ht="15.75" customHeight="1">
      <c r="A779" s="94"/>
      <c r="B779" s="94"/>
      <c r="C779" s="94"/>
      <c r="D779" s="94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</row>
    <row r="780" ht="15.75" customHeight="1">
      <c r="A780" s="94"/>
      <c r="B780" s="94"/>
      <c r="C780" s="94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</row>
    <row r="781" ht="15.75" customHeight="1">
      <c r="A781" s="94"/>
      <c r="B781" s="94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</row>
    <row r="782" ht="15.75" customHeight="1">
      <c r="A782" s="94"/>
      <c r="B782" s="94"/>
      <c r="C782" s="94"/>
      <c r="D782" s="94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</row>
    <row r="783" ht="15.75" customHeight="1">
      <c r="A783" s="94"/>
      <c r="B783" s="94"/>
      <c r="C783" s="94"/>
      <c r="D783" s="94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</row>
    <row r="784" ht="15.75" customHeight="1">
      <c r="A784" s="94"/>
      <c r="B784" s="94"/>
      <c r="C784" s="94"/>
      <c r="D784" s="94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94"/>
      <c r="AB784" s="94"/>
      <c r="AC784" s="94"/>
    </row>
    <row r="785" ht="15.75" customHeight="1">
      <c r="A785" s="94"/>
      <c r="B785" s="94"/>
      <c r="C785" s="94"/>
      <c r="D785" s="94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94"/>
      <c r="AB785" s="94"/>
      <c r="AC785" s="94"/>
    </row>
    <row r="786" ht="15.75" customHeight="1">
      <c r="A786" s="94"/>
      <c r="B786" s="94"/>
      <c r="C786" s="94"/>
      <c r="D786" s="94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94"/>
      <c r="AB786" s="94"/>
      <c r="AC786" s="94"/>
    </row>
    <row r="787" ht="15.75" customHeight="1">
      <c r="A787" s="94"/>
      <c r="B787" s="94"/>
      <c r="C787" s="94"/>
      <c r="D787" s="94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94"/>
      <c r="AB787" s="94"/>
      <c r="AC787" s="94"/>
    </row>
    <row r="788" ht="15.75" customHeight="1">
      <c r="A788" s="94"/>
      <c r="B788" s="94"/>
      <c r="C788" s="94"/>
      <c r="D788" s="94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94"/>
      <c r="AB788" s="94"/>
      <c r="AC788" s="94"/>
    </row>
    <row r="789" ht="15.75" customHeight="1">
      <c r="A789" s="94"/>
      <c r="B789" s="94"/>
      <c r="C789" s="94"/>
      <c r="D789" s="94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94"/>
      <c r="AB789" s="94"/>
      <c r="AC789" s="94"/>
    </row>
    <row r="790" ht="15.75" customHeight="1">
      <c r="A790" s="94"/>
      <c r="B790" s="94"/>
      <c r="C790" s="94"/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94"/>
      <c r="AB790" s="94"/>
      <c r="AC790" s="94"/>
    </row>
    <row r="791" ht="15.75" customHeight="1">
      <c r="A791" s="94"/>
      <c r="B791" s="94"/>
      <c r="C791" s="94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4"/>
      <c r="AB791" s="94"/>
      <c r="AC791" s="94"/>
    </row>
    <row r="792" ht="15.75" customHeight="1">
      <c r="A792" s="94"/>
      <c r="B792" s="94"/>
      <c r="C792" s="94"/>
      <c r="D792" s="94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4"/>
      <c r="AB792" s="94"/>
      <c r="AC792" s="94"/>
    </row>
    <row r="793" ht="15.75" customHeight="1">
      <c r="A793" s="94"/>
      <c r="B793" s="94"/>
      <c r="C793" s="94"/>
      <c r="D793" s="94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  <c r="AA793" s="94"/>
      <c r="AB793" s="94"/>
      <c r="AC793" s="94"/>
    </row>
    <row r="794" ht="15.75" customHeight="1">
      <c r="A794" s="94"/>
      <c r="B794" s="94"/>
      <c r="C794" s="94"/>
      <c r="D794" s="94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4"/>
      <c r="AB794" s="94"/>
      <c r="AC794" s="94"/>
    </row>
    <row r="795" ht="15.75" customHeight="1">
      <c r="A795" s="94"/>
      <c r="B795" s="94"/>
      <c r="C795" s="94"/>
      <c r="D795" s="94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4"/>
      <c r="AB795" s="94"/>
      <c r="AC795" s="94"/>
    </row>
    <row r="796" ht="15.75" customHeight="1">
      <c r="A796" s="94"/>
      <c r="B796" s="94"/>
      <c r="C796" s="94"/>
      <c r="D796" s="94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94"/>
      <c r="AB796" s="94"/>
      <c r="AC796" s="94"/>
    </row>
    <row r="797" ht="15.75" customHeight="1">
      <c r="A797" s="94"/>
      <c r="B797" s="94"/>
      <c r="C797" s="94"/>
      <c r="D797" s="94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4"/>
      <c r="AB797" s="94"/>
      <c r="AC797" s="94"/>
    </row>
    <row r="798" ht="15.75" customHeight="1">
      <c r="A798" s="94"/>
      <c r="B798" s="94"/>
      <c r="C798" s="94"/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4"/>
      <c r="AB798" s="94"/>
      <c r="AC798" s="94"/>
    </row>
    <row r="799" ht="15.75" customHeight="1">
      <c r="A799" s="94"/>
      <c r="B799" s="94"/>
      <c r="C799" s="94"/>
      <c r="D799" s="94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94"/>
      <c r="AB799" s="94"/>
      <c r="AC799" s="94"/>
    </row>
    <row r="800" ht="15.75" customHeight="1">
      <c r="A800" s="94"/>
      <c r="B800" s="94"/>
      <c r="C800" s="94"/>
      <c r="D800" s="94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4"/>
      <c r="AB800" s="94"/>
      <c r="AC800" s="94"/>
    </row>
    <row r="801" ht="15.75" customHeight="1">
      <c r="A801" s="94"/>
      <c r="B801" s="94"/>
      <c r="C801" s="94"/>
      <c r="D801" s="94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4"/>
      <c r="AB801" s="94"/>
      <c r="AC801" s="94"/>
    </row>
    <row r="802" ht="15.75" customHeight="1">
      <c r="A802" s="94"/>
      <c r="B802" s="94"/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  <c r="AA802" s="94"/>
      <c r="AB802" s="94"/>
      <c r="AC802" s="94"/>
    </row>
    <row r="803" ht="15.75" customHeight="1">
      <c r="A803" s="94"/>
      <c r="B803" s="94"/>
      <c r="C803" s="94"/>
      <c r="D803" s="94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94"/>
      <c r="AB803" s="94"/>
      <c r="AC803" s="94"/>
    </row>
    <row r="804" ht="15.75" customHeight="1">
      <c r="A804" s="94"/>
      <c r="B804" s="94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94"/>
      <c r="AB804" s="94"/>
      <c r="AC804" s="94"/>
    </row>
    <row r="805" ht="15.75" customHeight="1">
      <c r="A805" s="94"/>
      <c r="B805" s="94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94"/>
      <c r="AB805" s="94"/>
      <c r="AC805" s="94"/>
    </row>
    <row r="806" ht="15.75" customHeight="1">
      <c r="A806" s="94"/>
      <c r="B806" s="94"/>
      <c r="C806" s="94"/>
      <c r="D806" s="94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94"/>
      <c r="AB806" s="94"/>
      <c r="AC806" s="94"/>
    </row>
    <row r="807" ht="15.75" customHeight="1">
      <c r="A807" s="94"/>
      <c r="B807" s="94"/>
      <c r="C807" s="94"/>
      <c r="D807" s="94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94"/>
      <c r="AB807" s="94"/>
      <c r="AC807" s="94"/>
    </row>
    <row r="808" ht="15.75" customHeight="1">
      <c r="A808" s="94"/>
      <c r="B808" s="94"/>
      <c r="C808" s="94"/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94"/>
      <c r="AB808" s="94"/>
      <c r="AC808" s="94"/>
    </row>
    <row r="809" ht="15.75" customHeight="1">
      <c r="A809" s="94"/>
      <c r="B809" s="94"/>
      <c r="C809" s="94"/>
      <c r="D809" s="94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94"/>
      <c r="AB809" s="94"/>
      <c r="AC809" s="94"/>
    </row>
    <row r="810" ht="15.75" customHeight="1">
      <c r="A810" s="94"/>
      <c r="B810" s="94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94"/>
      <c r="AB810" s="94"/>
      <c r="AC810" s="94"/>
    </row>
    <row r="811" ht="15.75" customHeight="1">
      <c r="A811" s="94"/>
      <c r="B811" s="94"/>
      <c r="C811" s="94"/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94"/>
      <c r="AB811" s="94"/>
      <c r="AC811" s="94"/>
    </row>
    <row r="812" ht="15.75" customHeight="1">
      <c r="A812" s="94"/>
      <c r="B812" s="94"/>
      <c r="C812" s="94"/>
      <c r="D812" s="94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94"/>
      <c r="AB812" s="94"/>
      <c r="AC812" s="94"/>
    </row>
    <row r="813" ht="15.75" customHeight="1">
      <c r="A813" s="94"/>
      <c r="B813" s="94"/>
      <c r="C813" s="94"/>
      <c r="D813" s="94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94"/>
      <c r="AB813" s="94"/>
      <c r="AC813" s="94"/>
    </row>
    <row r="814" ht="15.75" customHeight="1">
      <c r="A814" s="94"/>
      <c r="B814" s="94"/>
      <c r="C814" s="94"/>
      <c r="D814" s="94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  <c r="AA814" s="94"/>
      <c r="AB814" s="94"/>
      <c r="AC814" s="94"/>
    </row>
    <row r="815" ht="15.75" customHeight="1">
      <c r="A815" s="94"/>
      <c r="B815" s="94"/>
      <c r="C815" s="94"/>
      <c r="D815" s="94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94"/>
      <c r="AB815" s="94"/>
      <c r="AC815" s="94"/>
    </row>
    <row r="816" ht="15.75" customHeight="1">
      <c r="A816" s="94"/>
      <c r="B816" s="94"/>
      <c r="C816" s="94"/>
      <c r="D816" s="94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94"/>
      <c r="AB816" s="94"/>
      <c r="AC816" s="94"/>
    </row>
    <row r="817" ht="15.75" customHeight="1">
      <c r="A817" s="94"/>
      <c r="B817" s="94"/>
      <c r="C817" s="94"/>
      <c r="D817" s="94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94"/>
      <c r="AB817" s="94"/>
      <c r="AC817" s="94"/>
    </row>
    <row r="818" ht="15.75" customHeight="1">
      <c r="A818" s="94"/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  <c r="AA818" s="94"/>
      <c r="AB818" s="94"/>
      <c r="AC818" s="94"/>
    </row>
    <row r="819" ht="15.75" customHeight="1">
      <c r="A819" s="94"/>
      <c r="B819" s="94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94"/>
      <c r="AB819" s="94"/>
      <c r="AC819" s="94"/>
    </row>
    <row r="820" ht="15.75" customHeight="1">
      <c r="A820" s="94"/>
      <c r="B820" s="94"/>
      <c r="C820" s="94"/>
      <c r="D820" s="94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94"/>
      <c r="AB820" s="94"/>
      <c r="AC820" s="94"/>
    </row>
    <row r="821" ht="15.75" customHeight="1">
      <c r="A821" s="94"/>
      <c r="B821" s="94"/>
      <c r="C821" s="94"/>
      <c r="D821" s="94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94"/>
      <c r="AB821" s="94"/>
      <c r="AC821" s="94"/>
    </row>
    <row r="822" ht="15.75" customHeight="1">
      <c r="A822" s="94"/>
      <c r="B822" s="94"/>
      <c r="C822" s="94"/>
      <c r="D822" s="94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94"/>
      <c r="AB822" s="94"/>
      <c r="AC822" s="94"/>
    </row>
    <row r="823" ht="15.75" customHeight="1">
      <c r="A823" s="94"/>
      <c r="B823" s="94"/>
      <c r="C823" s="94"/>
      <c r="D823" s="94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94"/>
      <c r="AB823" s="94"/>
      <c r="AC823" s="94"/>
    </row>
    <row r="824" ht="15.75" customHeight="1">
      <c r="A824" s="94"/>
      <c r="B824" s="94"/>
      <c r="C824" s="94"/>
      <c r="D824" s="94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94"/>
      <c r="AB824" s="94"/>
      <c r="AC824" s="94"/>
    </row>
    <row r="825" ht="15.75" customHeight="1">
      <c r="A825" s="94"/>
      <c r="B825" s="94"/>
      <c r="C825" s="94"/>
      <c r="D825" s="94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94"/>
      <c r="AB825" s="94"/>
      <c r="AC825" s="94"/>
    </row>
    <row r="826" ht="15.75" customHeight="1">
      <c r="A826" s="94"/>
      <c r="B826" s="94"/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94"/>
      <c r="AB826" s="94"/>
      <c r="AC826" s="94"/>
    </row>
    <row r="827" ht="15.75" customHeight="1">
      <c r="A827" s="94"/>
      <c r="B827" s="94"/>
      <c r="C827" s="94"/>
      <c r="D827" s="94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94"/>
      <c r="AB827" s="94"/>
      <c r="AC827" s="94"/>
    </row>
    <row r="828" ht="15.75" customHeight="1">
      <c r="A828" s="94"/>
      <c r="B828" s="94"/>
      <c r="C828" s="94"/>
      <c r="D828" s="94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94"/>
      <c r="AB828" s="94"/>
      <c r="AC828" s="94"/>
    </row>
    <row r="829" ht="15.75" customHeight="1">
      <c r="A829" s="94"/>
      <c r="B829" s="94"/>
      <c r="C829" s="94"/>
      <c r="D829" s="94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94"/>
      <c r="AB829" s="94"/>
      <c r="AC829" s="94"/>
    </row>
    <row r="830" ht="15.75" customHeight="1">
      <c r="A830" s="94"/>
      <c r="B830" s="94"/>
      <c r="C830" s="94"/>
      <c r="D830" s="94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94"/>
      <c r="AB830" s="94"/>
      <c r="AC830" s="94"/>
    </row>
    <row r="831" ht="15.75" customHeight="1">
      <c r="A831" s="94"/>
      <c r="B831" s="94"/>
      <c r="C831" s="94"/>
      <c r="D831" s="94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94"/>
      <c r="AB831" s="94"/>
      <c r="AC831" s="94"/>
    </row>
    <row r="832" ht="15.75" customHeight="1">
      <c r="A832" s="94"/>
      <c r="B832" s="94"/>
      <c r="C832" s="94"/>
      <c r="D832" s="94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94"/>
      <c r="AB832" s="94"/>
      <c r="AC832" s="94"/>
    </row>
    <row r="833" ht="15.75" customHeight="1">
      <c r="A833" s="94"/>
      <c r="B833" s="94"/>
      <c r="C833" s="94"/>
      <c r="D833" s="94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94"/>
      <c r="AB833" s="94"/>
      <c r="AC833" s="94"/>
    </row>
    <row r="834" ht="15.75" customHeight="1">
      <c r="A834" s="94"/>
      <c r="B834" s="94"/>
      <c r="C834" s="94"/>
      <c r="D834" s="94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  <c r="AA834" s="94"/>
      <c r="AB834" s="94"/>
      <c r="AC834" s="94"/>
    </row>
    <row r="835" ht="15.75" customHeight="1">
      <c r="A835" s="94"/>
      <c r="B835" s="94"/>
      <c r="C835" s="94"/>
      <c r="D835" s="94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94"/>
      <c r="AB835" s="94"/>
      <c r="AC835" s="94"/>
    </row>
    <row r="836" ht="15.75" customHeight="1">
      <c r="A836" s="94"/>
      <c r="B836" s="94"/>
      <c r="C836" s="94"/>
      <c r="D836" s="94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  <c r="AB836" s="94"/>
      <c r="AC836" s="94"/>
    </row>
    <row r="837" ht="15.75" customHeight="1">
      <c r="A837" s="94"/>
      <c r="B837" s="94"/>
      <c r="C837" s="94"/>
      <c r="D837" s="94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  <c r="AB837" s="94"/>
      <c r="AC837" s="94"/>
    </row>
    <row r="838" ht="15.75" customHeight="1">
      <c r="A838" s="94"/>
      <c r="B838" s="94"/>
      <c r="C838" s="94"/>
      <c r="D838" s="94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4"/>
      <c r="AB838" s="94"/>
      <c r="AC838" s="94"/>
    </row>
    <row r="839" ht="15.75" customHeight="1">
      <c r="A839" s="94"/>
      <c r="B839" s="94"/>
      <c r="C839" s="94"/>
      <c r="D839" s="94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4"/>
      <c r="AB839" s="94"/>
      <c r="AC839" s="94"/>
    </row>
    <row r="840" ht="15.75" customHeight="1">
      <c r="A840" s="94"/>
      <c r="B840" s="94"/>
      <c r="C840" s="94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94"/>
      <c r="AB840" s="94"/>
      <c r="AC840" s="94"/>
    </row>
    <row r="841" ht="15.75" customHeight="1">
      <c r="A841" s="94"/>
      <c r="B841" s="94"/>
      <c r="C841" s="94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94"/>
      <c r="AB841" s="94"/>
      <c r="AC841" s="94"/>
    </row>
    <row r="842" ht="15.75" customHeight="1">
      <c r="A842" s="94"/>
      <c r="B842" s="94"/>
      <c r="C842" s="94"/>
      <c r="D842" s="94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  <c r="AA842" s="94"/>
      <c r="AB842" s="94"/>
      <c r="AC842" s="94"/>
    </row>
    <row r="843" ht="15.75" customHeight="1">
      <c r="A843" s="94"/>
      <c r="B843" s="94"/>
      <c r="C843" s="94"/>
      <c r="D843" s="94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4"/>
      <c r="AB843" s="94"/>
      <c r="AC843" s="94"/>
    </row>
    <row r="844" ht="15.75" customHeight="1">
      <c r="A844" s="94"/>
      <c r="B844" s="94"/>
      <c r="C844" s="94"/>
      <c r="D844" s="94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94"/>
      <c r="AB844" s="94"/>
      <c r="AC844" s="94"/>
    </row>
    <row r="845" ht="15.75" customHeight="1">
      <c r="A845" s="94"/>
      <c r="B845" s="94"/>
      <c r="C845" s="94"/>
      <c r="D845" s="94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94"/>
      <c r="AB845" s="94"/>
      <c r="AC845" s="94"/>
    </row>
    <row r="846" ht="15.75" customHeight="1">
      <c r="A846" s="94"/>
      <c r="B846" s="94"/>
      <c r="C846" s="94"/>
      <c r="D846" s="94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4"/>
      <c r="AB846" s="94"/>
      <c r="AC846" s="94"/>
    </row>
    <row r="847" ht="15.75" customHeight="1">
      <c r="A847" s="94"/>
      <c r="B847" s="94"/>
      <c r="C847" s="94"/>
      <c r="D847" s="94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4"/>
      <c r="AB847" s="94"/>
      <c r="AC847" s="94"/>
    </row>
    <row r="848" ht="15.75" customHeight="1">
      <c r="A848" s="94"/>
      <c r="B848" s="94"/>
      <c r="C848" s="94"/>
      <c r="D848" s="94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  <c r="AA848" s="94"/>
      <c r="AB848" s="94"/>
      <c r="AC848" s="94"/>
    </row>
    <row r="849" ht="15.75" customHeight="1">
      <c r="A849" s="94"/>
      <c r="B849" s="94"/>
      <c r="C849" s="94"/>
      <c r="D849" s="94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4"/>
      <c r="AB849" s="94"/>
      <c r="AC849" s="94"/>
    </row>
    <row r="850" ht="15.75" customHeight="1">
      <c r="A850" s="94"/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4"/>
      <c r="AB850" s="94"/>
      <c r="AC850" s="94"/>
    </row>
    <row r="851" ht="15.75" customHeight="1">
      <c r="A851" s="94"/>
      <c r="B851" s="94"/>
      <c r="C851" s="94"/>
      <c r="D851" s="94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</row>
    <row r="852" ht="15.75" customHeight="1">
      <c r="A852" s="94"/>
      <c r="B852" s="94"/>
      <c r="C852" s="94"/>
      <c r="D852" s="94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</row>
    <row r="853" ht="15.75" customHeight="1">
      <c r="A853" s="94"/>
      <c r="B853" s="94"/>
      <c r="C853" s="94"/>
      <c r="D853" s="94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</row>
    <row r="854" ht="15.75" customHeight="1">
      <c r="A854" s="94"/>
      <c r="B854" s="94"/>
      <c r="C854" s="94"/>
      <c r="D854" s="94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</row>
    <row r="855" ht="15.75" customHeight="1">
      <c r="A855" s="94"/>
      <c r="B855" s="94"/>
      <c r="C855" s="94"/>
      <c r="D855" s="94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</row>
    <row r="856" ht="15.75" customHeight="1">
      <c r="A856" s="94"/>
      <c r="B856" s="94"/>
      <c r="C856" s="94"/>
      <c r="D856" s="94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</row>
    <row r="857" ht="15.75" customHeight="1">
      <c r="A857" s="94"/>
      <c r="B857" s="94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</row>
    <row r="858" ht="15.75" customHeight="1">
      <c r="A858" s="94"/>
      <c r="B858" s="94"/>
      <c r="C858" s="94"/>
      <c r="D858" s="94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</row>
    <row r="859" ht="15.75" customHeight="1">
      <c r="A859" s="94"/>
      <c r="B859" s="94"/>
      <c r="C859" s="94"/>
      <c r="D859" s="94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</row>
    <row r="860" ht="15.75" customHeight="1">
      <c r="A860" s="94"/>
      <c r="B860" s="94"/>
      <c r="C860" s="94"/>
      <c r="D860" s="94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</row>
    <row r="861" ht="15.75" customHeight="1">
      <c r="A861" s="94"/>
      <c r="B861" s="94"/>
      <c r="C861" s="94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</row>
    <row r="862" ht="15.75" customHeight="1">
      <c r="A862" s="94"/>
      <c r="B862" s="94"/>
      <c r="C862" s="94"/>
      <c r="D862" s="94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</row>
    <row r="863" ht="15.75" customHeight="1">
      <c r="A863" s="94"/>
      <c r="B863" s="94"/>
      <c r="C863" s="94"/>
      <c r="D863" s="94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</row>
    <row r="864" ht="15.75" customHeight="1">
      <c r="A864" s="94"/>
      <c r="B864" s="94"/>
      <c r="C864" s="94"/>
      <c r="D864" s="94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</row>
    <row r="865" ht="15.75" customHeight="1">
      <c r="A865" s="94"/>
      <c r="B865" s="94"/>
      <c r="C865" s="94"/>
      <c r="D865" s="94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</row>
    <row r="866" ht="15.75" customHeight="1">
      <c r="A866" s="94"/>
      <c r="B866" s="94"/>
      <c r="C866" s="94"/>
      <c r="D866" s="94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</row>
    <row r="867" ht="15.75" customHeight="1">
      <c r="A867" s="94"/>
      <c r="B867" s="94"/>
      <c r="C867" s="94"/>
      <c r="D867" s="94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</row>
    <row r="868" ht="15.75" customHeight="1">
      <c r="A868" s="94"/>
      <c r="B868" s="94"/>
      <c r="C868" s="94"/>
      <c r="D868" s="94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</row>
    <row r="869" ht="15.75" customHeight="1">
      <c r="A869" s="94"/>
      <c r="B869" s="94"/>
      <c r="C869" s="94"/>
      <c r="D869" s="94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</row>
    <row r="870" ht="15.75" customHeight="1">
      <c r="A870" s="94"/>
      <c r="B870" s="94"/>
      <c r="C870" s="94"/>
      <c r="D870" s="94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</row>
    <row r="871" ht="15.75" customHeight="1">
      <c r="A871" s="94"/>
      <c r="B871" s="94"/>
      <c r="C871" s="94"/>
      <c r="D871" s="94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</row>
    <row r="872" ht="15.75" customHeight="1">
      <c r="A872" s="94"/>
      <c r="B872" s="94"/>
      <c r="C872" s="94"/>
      <c r="D872" s="94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</row>
    <row r="873" ht="15.75" customHeight="1">
      <c r="A873" s="94"/>
      <c r="B873" s="94"/>
      <c r="C873" s="94"/>
      <c r="D873" s="94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</row>
    <row r="874" ht="15.75" customHeight="1">
      <c r="A874" s="94"/>
      <c r="B874" s="94"/>
      <c r="C874" s="94"/>
      <c r="D874" s="94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</row>
    <row r="875" ht="15.75" customHeight="1">
      <c r="A875" s="94"/>
      <c r="B875" s="94"/>
      <c r="C875" s="94"/>
      <c r="D875" s="94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</row>
    <row r="876" ht="15.75" customHeight="1">
      <c r="A876" s="94"/>
      <c r="B876" s="94"/>
      <c r="C876" s="94"/>
      <c r="D876" s="94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</row>
    <row r="877" ht="15.75" customHeight="1">
      <c r="A877" s="94"/>
      <c r="B877" s="94"/>
      <c r="C877" s="94"/>
      <c r="D877" s="94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</row>
    <row r="878" ht="15.75" customHeight="1">
      <c r="A878" s="94"/>
      <c r="B878" s="94"/>
      <c r="C878" s="94"/>
      <c r="D878" s="94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</row>
    <row r="879" ht="15.75" customHeight="1">
      <c r="A879" s="94"/>
      <c r="B879" s="94"/>
      <c r="C879" s="94"/>
      <c r="D879" s="94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</row>
    <row r="880" ht="15.75" customHeight="1">
      <c r="A880" s="94"/>
      <c r="B880" s="94"/>
      <c r="C880" s="94"/>
      <c r="D880" s="94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</row>
    <row r="881" ht="15.75" customHeight="1">
      <c r="A881" s="94"/>
      <c r="B881" s="94"/>
      <c r="C881" s="94"/>
      <c r="D881" s="94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</row>
    <row r="882" ht="15.75" customHeight="1">
      <c r="A882" s="94"/>
      <c r="B882" s="94"/>
      <c r="C882" s="94"/>
      <c r="D882" s="94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</row>
    <row r="883" ht="15.75" customHeight="1">
      <c r="A883" s="94"/>
      <c r="B883" s="94"/>
      <c r="C883" s="94"/>
      <c r="D883" s="94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</row>
    <row r="884" ht="15.75" customHeight="1">
      <c r="A884" s="94"/>
      <c r="B884" s="94"/>
      <c r="C884" s="94"/>
      <c r="D884" s="94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</row>
    <row r="885" ht="15.75" customHeight="1">
      <c r="A885" s="94"/>
      <c r="B885" s="94"/>
      <c r="C885" s="94"/>
      <c r="D885" s="94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</row>
    <row r="886" ht="15.75" customHeight="1">
      <c r="A886" s="94"/>
      <c r="B886" s="94"/>
      <c r="C886" s="94"/>
      <c r="D886" s="94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</row>
    <row r="887" ht="15.75" customHeight="1">
      <c r="A887" s="94"/>
      <c r="B887" s="94"/>
      <c r="C887" s="94"/>
      <c r="D887" s="94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</row>
    <row r="888" ht="15.75" customHeight="1">
      <c r="A888" s="94"/>
      <c r="B888" s="94"/>
      <c r="C888" s="94"/>
      <c r="D888" s="94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</row>
    <row r="889" ht="15.75" customHeight="1">
      <c r="A889" s="94"/>
      <c r="B889" s="94"/>
      <c r="C889" s="94"/>
      <c r="D889" s="94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</row>
    <row r="890" ht="15.75" customHeight="1">
      <c r="A890" s="94"/>
      <c r="B890" s="94"/>
      <c r="C890" s="94"/>
      <c r="D890" s="94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</row>
    <row r="891" ht="15.75" customHeight="1">
      <c r="A891" s="94"/>
      <c r="B891" s="94"/>
      <c r="C891" s="94"/>
      <c r="D891" s="94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</row>
    <row r="892" ht="15.75" customHeight="1">
      <c r="A892" s="94"/>
      <c r="B892" s="94"/>
      <c r="C892" s="94"/>
      <c r="D892" s="94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</row>
    <row r="893" ht="15.75" customHeight="1">
      <c r="A893" s="94"/>
      <c r="B893" s="94"/>
      <c r="C893" s="94"/>
      <c r="D893" s="94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</row>
    <row r="894" ht="15.75" customHeight="1">
      <c r="A894" s="94"/>
      <c r="B894" s="94"/>
      <c r="C894" s="94"/>
      <c r="D894" s="94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4"/>
      <c r="AB894" s="94"/>
      <c r="AC894" s="94"/>
    </row>
    <row r="895" ht="15.75" customHeight="1">
      <c r="A895" s="94"/>
      <c r="B895" s="94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94"/>
      <c r="AB895" s="94"/>
      <c r="AC895" s="94"/>
    </row>
    <row r="896" ht="15.75" customHeight="1">
      <c r="A896" s="94"/>
      <c r="B896" s="94"/>
      <c r="C896" s="94"/>
      <c r="D896" s="94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4"/>
      <c r="AB896" s="94"/>
      <c r="AC896" s="94"/>
    </row>
    <row r="897" ht="15.75" customHeight="1">
      <c r="A897" s="94"/>
      <c r="B897" s="94"/>
      <c r="C897" s="94"/>
      <c r="D897" s="94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94"/>
      <c r="AB897" s="94"/>
      <c r="AC897" s="94"/>
    </row>
    <row r="898" ht="15.75" customHeight="1">
      <c r="A898" s="94"/>
      <c r="B898" s="94"/>
      <c r="C898" s="94"/>
      <c r="D898" s="94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94"/>
      <c r="AB898" s="94"/>
      <c r="AC898" s="94"/>
    </row>
    <row r="899" ht="15.75" customHeight="1">
      <c r="A899" s="94"/>
      <c r="B899" s="94"/>
      <c r="C899" s="94"/>
      <c r="D899" s="94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94"/>
      <c r="AB899" s="94"/>
      <c r="AC899" s="94"/>
    </row>
    <row r="900" ht="15.75" customHeight="1">
      <c r="A900" s="94"/>
      <c r="B900" s="94"/>
      <c r="C900" s="94"/>
      <c r="D900" s="94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4"/>
      <c r="AB900" s="94"/>
      <c r="AC900" s="94"/>
    </row>
    <row r="901" ht="15.75" customHeight="1">
      <c r="A901" s="94"/>
      <c r="B901" s="94"/>
      <c r="C901" s="94"/>
      <c r="D901" s="94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4"/>
      <c r="AB901" s="94"/>
      <c r="AC901" s="94"/>
    </row>
    <row r="902" ht="15.75" customHeight="1">
      <c r="A902" s="94"/>
      <c r="B902" s="94"/>
      <c r="C902" s="94"/>
      <c r="D902" s="94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4"/>
      <c r="AB902" s="94"/>
      <c r="AC902" s="94"/>
    </row>
    <row r="903" ht="15.75" customHeight="1">
      <c r="A903" s="94"/>
      <c r="B903" s="94"/>
      <c r="C903" s="94"/>
      <c r="D903" s="94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4"/>
      <c r="AB903" s="94"/>
      <c r="AC903" s="94"/>
    </row>
    <row r="904" ht="15.75" customHeight="1">
      <c r="A904" s="94"/>
      <c r="B904" s="94"/>
      <c r="C904" s="94"/>
      <c r="D904" s="94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94"/>
      <c r="AB904" s="94"/>
      <c r="AC904" s="94"/>
    </row>
    <row r="905" ht="15.75" customHeight="1">
      <c r="A905" s="94"/>
      <c r="B905" s="94"/>
      <c r="C905" s="94"/>
      <c r="D905" s="94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4"/>
      <c r="AB905" s="94"/>
      <c r="AC905" s="94"/>
    </row>
    <row r="906" ht="15.75" customHeight="1">
      <c r="A906" s="94"/>
      <c r="B906" s="94"/>
      <c r="C906" s="94"/>
      <c r="D906" s="94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4"/>
      <c r="AB906" s="94"/>
      <c r="AC906" s="94"/>
    </row>
    <row r="907" ht="15.75" customHeight="1">
      <c r="A907" s="94"/>
      <c r="B907" s="94"/>
      <c r="C907" s="94"/>
      <c r="D907" s="94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94"/>
      <c r="AB907" s="94"/>
      <c r="AC907" s="94"/>
    </row>
    <row r="908" ht="15.75" customHeight="1">
      <c r="A908" s="94"/>
      <c r="B908" s="94"/>
      <c r="C908" s="94"/>
      <c r="D908" s="94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4"/>
      <c r="AB908" s="94"/>
      <c r="AC908" s="94"/>
    </row>
    <row r="909" ht="15.75" customHeight="1">
      <c r="A909" s="94"/>
      <c r="B909" s="94"/>
      <c r="C909" s="94"/>
      <c r="D909" s="94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4"/>
      <c r="AB909" s="94"/>
      <c r="AC909" s="94"/>
    </row>
    <row r="910" ht="15.75" customHeight="1">
      <c r="A910" s="94"/>
      <c r="B910" s="94"/>
      <c r="C910" s="94"/>
      <c r="D910" s="94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4"/>
      <c r="AB910" s="94"/>
      <c r="AC910" s="94"/>
    </row>
    <row r="911" ht="15.75" customHeight="1">
      <c r="A911" s="94"/>
      <c r="B911" s="94"/>
      <c r="C911" s="94"/>
      <c r="D911" s="94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94"/>
      <c r="AB911" s="94"/>
      <c r="AC911" s="94"/>
    </row>
    <row r="912" ht="15.75" customHeight="1">
      <c r="A912" s="94"/>
      <c r="B912" s="94"/>
      <c r="C912" s="94"/>
      <c r="D912" s="94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94"/>
      <c r="AB912" s="94"/>
      <c r="AC912" s="94"/>
    </row>
    <row r="913" ht="15.75" customHeight="1">
      <c r="A913" s="94"/>
      <c r="B913" s="94"/>
      <c r="C913" s="94"/>
      <c r="D913" s="94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4"/>
      <c r="AB913" s="94"/>
      <c r="AC913" s="94"/>
    </row>
    <row r="914" ht="15.75" customHeight="1">
      <c r="A914" s="94"/>
      <c r="B914" s="94"/>
      <c r="C914" s="94"/>
      <c r="D914" s="94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4"/>
      <c r="AB914" s="94"/>
      <c r="AC914" s="94"/>
    </row>
    <row r="915" ht="15.75" customHeight="1">
      <c r="A915" s="94"/>
      <c r="B915" s="94"/>
      <c r="C915" s="94"/>
      <c r="D915" s="94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94"/>
      <c r="AB915" s="94"/>
      <c r="AC915" s="94"/>
    </row>
    <row r="916" ht="15.75" customHeight="1">
      <c r="A916" s="94"/>
      <c r="B916" s="94"/>
      <c r="C916" s="94"/>
      <c r="D916" s="94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94"/>
      <c r="AB916" s="94"/>
      <c r="AC916" s="94"/>
    </row>
    <row r="917" ht="15.75" customHeight="1">
      <c r="A917" s="94"/>
      <c r="B917" s="94"/>
      <c r="C917" s="94"/>
      <c r="D917" s="94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4"/>
      <c r="AB917" s="94"/>
      <c r="AC917" s="94"/>
    </row>
    <row r="918" ht="15.75" customHeight="1">
      <c r="A918" s="94"/>
      <c r="B918" s="94"/>
      <c r="C918" s="94"/>
      <c r="D918" s="94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94"/>
      <c r="AB918" s="94"/>
      <c r="AC918" s="94"/>
    </row>
    <row r="919" ht="15.75" customHeight="1">
      <c r="A919" s="94"/>
      <c r="B919" s="94"/>
      <c r="C919" s="94"/>
      <c r="D919" s="94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94"/>
      <c r="AB919" s="94"/>
      <c r="AC919" s="94"/>
    </row>
    <row r="920" ht="15.75" customHeight="1">
      <c r="A920" s="94"/>
      <c r="B920" s="94"/>
      <c r="C920" s="94"/>
      <c r="D920" s="94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94"/>
      <c r="AB920" s="94"/>
      <c r="AC920" s="94"/>
    </row>
    <row r="921" ht="15.75" customHeight="1">
      <c r="A921" s="94"/>
      <c r="B921" s="94"/>
      <c r="C921" s="94"/>
      <c r="D921" s="94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94"/>
      <c r="AB921" s="94"/>
      <c r="AC921" s="94"/>
    </row>
    <row r="922" ht="15.75" customHeight="1">
      <c r="A922" s="94"/>
      <c r="B922" s="94"/>
      <c r="C922" s="94"/>
      <c r="D922" s="94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94"/>
      <c r="AB922" s="94"/>
      <c r="AC922" s="94"/>
    </row>
    <row r="923" ht="15.75" customHeight="1">
      <c r="A923" s="94"/>
      <c r="B923" s="94"/>
      <c r="C923" s="94"/>
      <c r="D923" s="94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4"/>
      <c r="AB923" s="94"/>
      <c r="AC923" s="94"/>
    </row>
    <row r="924" ht="15.75" customHeight="1">
      <c r="A924" s="94"/>
      <c r="B924" s="94"/>
      <c r="C924" s="94"/>
      <c r="D924" s="94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94"/>
      <c r="AB924" s="94"/>
      <c r="AC924" s="94"/>
    </row>
    <row r="925" ht="15.75" customHeight="1">
      <c r="A925" s="94"/>
      <c r="B925" s="94"/>
      <c r="C925" s="94"/>
      <c r="D925" s="94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94"/>
      <c r="AB925" s="94"/>
      <c r="AC925" s="94"/>
    </row>
    <row r="926" ht="15.75" customHeight="1">
      <c r="A926" s="94"/>
      <c r="B926" s="94"/>
      <c r="C926" s="94"/>
      <c r="D926" s="94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94"/>
      <c r="AB926" s="94"/>
      <c r="AC926" s="94"/>
    </row>
    <row r="927" ht="15.75" customHeight="1">
      <c r="A927" s="94"/>
      <c r="B927" s="94"/>
      <c r="C927" s="94"/>
      <c r="D927" s="94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94"/>
      <c r="AB927" s="94"/>
      <c r="AC927" s="94"/>
    </row>
    <row r="928" ht="15.75" customHeight="1">
      <c r="A928" s="94"/>
      <c r="B928" s="94"/>
      <c r="C928" s="94"/>
      <c r="D928" s="94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4"/>
      <c r="AB928" s="94"/>
      <c r="AC928" s="94"/>
    </row>
    <row r="929" ht="15.75" customHeight="1">
      <c r="A929" s="94"/>
      <c r="B929" s="94"/>
      <c r="C929" s="94"/>
      <c r="D929" s="94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4"/>
      <c r="AB929" s="94"/>
      <c r="AC929" s="94"/>
    </row>
    <row r="930" ht="15.75" customHeight="1">
      <c r="A930" s="94"/>
      <c r="B930" s="94"/>
      <c r="C930" s="94"/>
      <c r="D930" s="94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4"/>
      <c r="AB930" s="94"/>
      <c r="AC930" s="94"/>
    </row>
    <row r="931" ht="15.75" customHeight="1">
      <c r="A931" s="94"/>
      <c r="B931" s="94"/>
      <c r="C931" s="94"/>
      <c r="D931" s="94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94"/>
      <c r="AB931" s="94"/>
      <c r="AC931" s="94"/>
    </row>
    <row r="932" ht="15.75" customHeight="1">
      <c r="A932" s="94"/>
      <c r="B932" s="94"/>
      <c r="C932" s="94"/>
      <c r="D932" s="94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94"/>
      <c r="AB932" s="94"/>
      <c r="AC932" s="94"/>
    </row>
    <row r="933" ht="15.75" customHeight="1">
      <c r="A933" s="94"/>
      <c r="B933" s="94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94"/>
      <c r="AB933" s="94"/>
      <c r="AC933" s="94"/>
    </row>
    <row r="934" ht="15.75" customHeight="1">
      <c r="A934" s="94"/>
      <c r="B934" s="94"/>
      <c r="C934" s="94"/>
      <c r="D934" s="94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94"/>
      <c r="AB934" s="94"/>
      <c r="AC934" s="94"/>
    </row>
    <row r="935" ht="15.75" customHeight="1">
      <c r="A935" s="94"/>
      <c r="B935" s="94"/>
      <c r="C935" s="94"/>
      <c r="D935" s="94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94"/>
      <c r="AB935" s="94"/>
      <c r="AC935" s="94"/>
    </row>
    <row r="936" ht="15.75" customHeight="1">
      <c r="A936" s="94"/>
      <c r="B936" s="94"/>
      <c r="C936" s="94"/>
      <c r="D936" s="94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94"/>
      <c r="AB936" s="94"/>
      <c r="AC936" s="94"/>
    </row>
    <row r="937" ht="15.75" customHeight="1">
      <c r="A937" s="94"/>
      <c r="B937" s="94"/>
      <c r="C937" s="94"/>
      <c r="D937" s="94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  <c r="AA937" s="94"/>
      <c r="AB937" s="94"/>
      <c r="AC937" s="94"/>
    </row>
    <row r="938" ht="15.75" customHeight="1">
      <c r="A938" s="94"/>
      <c r="B938" s="94"/>
      <c r="C938" s="94"/>
      <c r="D938" s="94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  <c r="AA938" s="94"/>
      <c r="AB938" s="94"/>
      <c r="AC938" s="94"/>
    </row>
    <row r="939" ht="15.75" customHeight="1">
      <c r="A939" s="94"/>
      <c r="B939" s="94"/>
      <c r="C939" s="94"/>
      <c r="D939" s="94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94"/>
      <c r="AB939" s="94"/>
      <c r="AC939" s="94"/>
    </row>
    <row r="940" ht="15.75" customHeight="1">
      <c r="A940" s="94"/>
      <c r="B940" s="94"/>
      <c r="C940" s="94"/>
      <c r="D940" s="94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  <c r="AA940" s="94"/>
      <c r="AB940" s="94"/>
      <c r="AC940" s="94"/>
    </row>
    <row r="941" ht="15.75" customHeight="1">
      <c r="A941" s="94"/>
      <c r="B941" s="94"/>
      <c r="C941" s="94"/>
      <c r="D941" s="94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  <c r="AA941" s="94"/>
      <c r="AB941" s="94"/>
      <c r="AC941" s="94"/>
    </row>
    <row r="942" ht="15.75" customHeight="1">
      <c r="A942" s="94"/>
      <c r="B942" s="94"/>
      <c r="C942" s="94"/>
      <c r="D942" s="94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  <c r="AA942" s="94"/>
      <c r="AB942" s="94"/>
      <c r="AC942" s="94"/>
    </row>
    <row r="943" ht="15.75" customHeight="1">
      <c r="A943" s="94"/>
      <c r="B943" s="94"/>
      <c r="C943" s="94"/>
      <c r="D943" s="94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94"/>
      <c r="AB943" s="94"/>
      <c r="AC943" s="94"/>
    </row>
    <row r="944" ht="15.75" customHeight="1">
      <c r="A944" s="94"/>
      <c r="B944" s="94"/>
      <c r="C944" s="94"/>
      <c r="D944" s="94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  <c r="AA944" s="94"/>
      <c r="AB944" s="94"/>
      <c r="AC944" s="94"/>
    </row>
    <row r="945" ht="15.75" customHeight="1">
      <c r="A945" s="94"/>
      <c r="B945" s="94"/>
      <c r="C945" s="94"/>
      <c r="D945" s="94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  <c r="AA945" s="94"/>
      <c r="AB945" s="94"/>
      <c r="AC945" s="94"/>
    </row>
    <row r="946" ht="15.75" customHeight="1">
      <c r="A946" s="94"/>
      <c r="B946" s="94"/>
      <c r="C946" s="94"/>
      <c r="D946" s="94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  <c r="AA946" s="94"/>
      <c r="AB946" s="94"/>
      <c r="AC946" s="94"/>
    </row>
    <row r="947" ht="15.75" customHeight="1">
      <c r="A947" s="94"/>
      <c r="B947" s="94"/>
      <c r="C947" s="94"/>
      <c r="D947" s="94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  <c r="AA947" s="94"/>
      <c r="AB947" s="94"/>
      <c r="AC947" s="94"/>
    </row>
    <row r="948" ht="15.75" customHeight="1">
      <c r="A948" s="94"/>
      <c r="B948" s="94"/>
      <c r="C948" s="94"/>
      <c r="D948" s="94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  <c r="AA948" s="94"/>
      <c r="AB948" s="94"/>
      <c r="AC948" s="94"/>
    </row>
    <row r="949" ht="15.75" customHeight="1">
      <c r="A949" s="94"/>
      <c r="B949" s="94"/>
      <c r="C949" s="94"/>
      <c r="D949" s="94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  <c r="AA949" s="94"/>
      <c r="AB949" s="94"/>
      <c r="AC949" s="94"/>
    </row>
    <row r="950" ht="15.75" customHeight="1">
      <c r="A950" s="94"/>
      <c r="B950" s="94"/>
      <c r="C950" s="94"/>
      <c r="D950" s="94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  <c r="AA950" s="94"/>
      <c r="AB950" s="94"/>
      <c r="AC950" s="94"/>
    </row>
    <row r="951" ht="15.75" customHeight="1">
      <c r="A951" s="94"/>
      <c r="B951" s="94"/>
      <c r="C951" s="94"/>
      <c r="D951" s="94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  <c r="AA951" s="94"/>
      <c r="AB951" s="94"/>
      <c r="AC951" s="94"/>
    </row>
    <row r="952" ht="15.75" customHeight="1">
      <c r="A952" s="94"/>
      <c r="B952" s="94"/>
      <c r="C952" s="94"/>
      <c r="D952" s="94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94"/>
      <c r="AB952" s="94"/>
      <c r="AC952" s="94"/>
    </row>
    <row r="953" ht="15.75" customHeight="1">
      <c r="A953" s="94"/>
      <c r="B953" s="94"/>
      <c r="C953" s="94"/>
      <c r="D953" s="94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  <c r="AA953" s="94"/>
      <c r="AB953" s="94"/>
      <c r="AC953" s="94"/>
    </row>
    <row r="954" ht="15.75" customHeight="1">
      <c r="A954" s="94"/>
      <c r="B954" s="94"/>
      <c r="C954" s="94"/>
      <c r="D954" s="94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  <c r="AA954" s="94"/>
      <c r="AB954" s="94"/>
      <c r="AC954" s="94"/>
    </row>
    <row r="955" ht="15.75" customHeight="1">
      <c r="A955" s="94"/>
      <c r="B955" s="94"/>
      <c r="C955" s="94"/>
      <c r="D955" s="94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  <c r="AA955" s="94"/>
      <c r="AB955" s="94"/>
      <c r="AC955" s="94"/>
    </row>
    <row r="956" ht="15.75" customHeight="1">
      <c r="A956" s="94"/>
      <c r="B956" s="94"/>
      <c r="C956" s="94"/>
      <c r="D956" s="94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  <c r="AA956" s="94"/>
      <c r="AB956" s="94"/>
      <c r="AC956" s="94"/>
    </row>
    <row r="957" ht="15.75" customHeight="1">
      <c r="A957" s="94"/>
      <c r="B957" s="94"/>
      <c r="C957" s="94"/>
      <c r="D957" s="94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  <c r="AA957" s="94"/>
      <c r="AB957" s="94"/>
      <c r="AC957" s="94"/>
    </row>
    <row r="958" ht="15.75" customHeight="1">
      <c r="A958" s="94"/>
      <c r="B958" s="94"/>
      <c r="C958" s="94"/>
      <c r="D958" s="94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  <c r="AA958" s="94"/>
      <c r="AB958" s="94"/>
      <c r="AC958" s="94"/>
    </row>
    <row r="959" ht="15.75" customHeight="1">
      <c r="A959" s="94"/>
      <c r="B959" s="94"/>
      <c r="C959" s="94"/>
      <c r="D959" s="94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  <c r="AA959" s="94"/>
      <c r="AB959" s="94"/>
      <c r="AC959" s="94"/>
    </row>
    <row r="960" ht="15.75" customHeight="1">
      <c r="A960" s="94"/>
      <c r="B960" s="94"/>
      <c r="C960" s="94"/>
      <c r="D960" s="94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  <c r="AA960" s="94"/>
      <c r="AB960" s="94"/>
      <c r="AC960" s="94"/>
    </row>
    <row r="961" ht="15.75" customHeight="1">
      <c r="A961" s="94"/>
      <c r="B961" s="94"/>
      <c r="C961" s="94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  <c r="AA961" s="94"/>
      <c r="AB961" s="94"/>
      <c r="AC961" s="94"/>
    </row>
    <row r="962" ht="15.75" customHeight="1">
      <c r="A962" s="94"/>
      <c r="B962" s="94"/>
      <c r="C962" s="94"/>
      <c r="D962" s="94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  <c r="AA962" s="94"/>
      <c r="AB962" s="94"/>
      <c r="AC962" s="94"/>
    </row>
    <row r="963" ht="15.75" customHeight="1">
      <c r="A963" s="94"/>
      <c r="B963" s="94"/>
      <c r="C963" s="94"/>
      <c r="D963" s="94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  <c r="AA963" s="94"/>
      <c r="AB963" s="94"/>
      <c r="AC963" s="94"/>
    </row>
    <row r="964" ht="15.75" customHeight="1">
      <c r="A964" s="94"/>
      <c r="B964" s="94"/>
      <c r="C964" s="94"/>
      <c r="D964" s="94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Z964" s="94"/>
      <c r="AA964" s="94"/>
      <c r="AB964" s="94"/>
      <c r="AC964" s="94"/>
    </row>
    <row r="965" ht="15.75" customHeight="1">
      <c r="A965" s="94"/>
      <c r="B965" s="94"/>
      <c r="C965" s="94"/>
      <c r="D965" s="94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  <c r="AA965" s="94"/>
      <c r="AB965" s="94"/>
      <c r="AC965" s="94"/>
    </row>
    <row r="966" ht="15.75" customHeight="1">
      <c r="A966" s="94"/>
      <c r="B966" s="94"/>
      <c r="C966" s="94"/>
      <c r="D966" s="94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  <c r="AA966" s="94"/>
      <c r="AB966" s="94"/>
      <c r="AC966" s="94"/>
    </row>
    <row r="967" ht="15.75" customHeight="1">
      <c r="A967" s="94"/>
      <c r="B967" s="94"/>
      <c r="C967" s="94"/>
      <c r="D967" s="94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  <c r="AA967" s="94"/>
      <c r="AB967" s="94"/>
      <c r="AC967" s="94"/>
    </row>
    <row r="968" ht="15.75" customHeight="1">
      <c r="A968" s="94"/>
      <c r="B968" s="94"/>
      <c r="C968" s="94"/>
      <c r="D968" s="94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  <c r="AA968" s="94"/>
      <c r="AB968" s="94"/>
      <c r="AC968" s="94"/>
    </row>
    <row r="969" ht="15.75" customHeight="1">
      <c r="A969" s="94"/>
      <c r="B969" s="94"/>
      <c r="C969" s="94"/>
      <c r="D969" s="94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  <c r="AA969" s="94"/>
      <c r="AB969" s="94"/>
      <c r="AC969" s="94"/>
    </row>
    <row r="970" ht="15.75" customHeight="1">
      <c r="A970" s="94"/>
      <c r="B970" s="94"/>
      <c r="C970" s="94"/>
      <c r="D970" s="94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  <c r="AA970" s="94"/>
      <c r="AB970" s="94"/>
      <c r="AC970" s="94"/>
    </row>
    <row r="971" ht="15.75" customHeight="1">
      <c r="A971" s="94"/>
      <c r="B971" s="94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  <c r="AA971" s="94"/>
      <c r="AB971" s="94"/>
      <c r="AC971" s="94"/>
    </row>
    <row r="972" ht="15.75" customHeight="1">
      <c r="A972" s="94"/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  <c r="AA972" s="94"/>
      <c r="AB972" s="94"/>
      <c r="AC972" s="94"/>
    </row>
    <row r="973" ht="15.75" customHeight="1">
      <c r="A973" s="94"/>
      <c r="B973" s="94"/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  <c r="AA973" s="94"/>
      <c r="AB973" s="94"/>
      <c r="AC973" s="94"/>
    </row>
    <row r="974" ht="15.75" customHeight="1">
      <c r="A974" s="94"/>
      <c r="B974" s="94"/>
      <c r="C974" s="94"/>
      <c r="D974" s="94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  <c r="AA974" s="94"/>
      <c r="AB974" s="94"/>
      <c r="AC974" s="94"/>
    </row>
    <row r="975" ht="15.75" customHeight="1">
      <c r="A975" s="94"/>
      <c r="B975" s="94"/>
      <c r="C975" s="94"/>
      <c r="D975" s="94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  <c r="AA975" s="94"/>
      <c r="AB975" s="94"/>
      <c r="AC975" s="94"/>
    </row>
    <row r="976" ht="15.75" customHeight="1">
      <c r="A976" s="94"/>
      <c r="B976" s="94"/>
      <c r="C976" s="94"/>
      <c r="D976" s="94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  <c r="AA976" s="94"/>
      <c r="AB976" s="94"/>
      <c r="AC976" s="94"/>
    </row>
    <row r="977" ht="15.75" customHeight="1">
      <c r="A977" s="94"/>
      <c r="B977" s="94"/>
      <c r="C977" s="94"/>
      <c r="D977" s="94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  <c r="AA977" s="94"/>
      <c r="AB977" s="94"/>
      <c r="AC977" s="94"/>
    </row>
    <row r="978" ht="15.75" customHeight="1">
      <c r="A978" s="94"/>
      <c r="B978" s="94"/>
      <c r="C978" s="94"/>
      <c r="D978" s="94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  <c r="AA978" s="94"/>
      <c r="AB978" s="94"/>
      <c r="AC978" s="94"/>
    </row>
    <row r="979" ht="15.75" customHeight="1">
      <c r="A979" s="94"/>
      <c r="B979" s="94"/>
      <c r="C979" s="94"/>
      <c r="D979" s="94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  <c r="AA979" s="94"/>
      <c r="AB979" s="94"/>
      <c r="AC979" s="94"/>
    </row>
    <row r="980" ht="15.75" customHeight="1">
      <c r="A980" s="94"/>
      <c r="B980" s="94"/>
      <c r="C980" s="94"/>
      <c r="D980" s="94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  <c r="AA980" s="94"/>
      <c r="AB980" s="94"/>
      <c r="AC980" s="94"/>
    </row>
    <row r="981" ht="15.75" customHeight="1">
      <c r="A981" s="94"/>
      <c r="B981" s="94"/>
      <c r="C981" s="94"/>
      <c r="D981" s="94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94"/>
      <c r="AB981" s="94"/>
      <c r="AC981" s="94"/>
    </row>
    <row r="982" ht="15.75" customHeight="1">
      <c r="A982" s="94"/>
      <c r="B982" s="94"/>
      <c r="C982" s="94"/>
      <c r="D982" s="94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  <c r="AA982" s="94"/>
      <c r="AB982" s="94"/>
      <c r="AC982" s="94"/>
    </row>
    <row r="983" ht="15.75" customHeight="1">
      <c r="A983" s="94"/>
      <c r="B983" s="94"/>
      <c r="C983" s="94"/>
      <c r="D983" s="94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  <c r="AA983" s="94"/>
      <c r="AB983" s="94"/>
      <c r="AC983" s="94"/>
    </row>
    <row r="984" ht="15.75" customHeight="1">
      <c r="A984" s="94"/>
      <c r="B984" s="94"/>
      <c r="C984" s="94"/>
      <c r="D984" s="94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  <c r="AA984" s="94"/>
      <c r="AB984" s="94"/>
      <c r="AC984" s="94"/>
    </row>
    <row r="985" ht="15.75" customHeight="1">
      <c r="A985" s="94"/>
      <c r="B985" s="94"/>
      <c r="C985" s="94"/>
      <c r="D985" s="94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  <c r="AA985" s="94"/>
      <c r="AB985" s="94"/>
      <c r="AC985" s="94"/>
    </row>
    <row r="986" ht="15.75" customHeight="1">
      <c r="A986" s="94"/>
      <c r="B986" s="94"/>
      <c r="C986" s="94"/>
      <c r="D986" s="94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  <c r="AA986" s="94"/>
      <c r="AB986" s="94"/>
      <c r="AC986" s="94"/>
    </row>
    <row r="987" ht="15.75" customHeight="1">
      <c r="A987" s="94"/>
      <c r="B987" s="94"/>
      <c r="C987" s="94"/>
      <c r="D987" s="94"/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  <c r="AA987" s="94"/>
      <c r="AB987" s="94"/>
      <c r="AC987" s="94"/>
    </row>
    <row r="988" ht="15.75" customHeight="1">
      <c r="A988" s="94"/>
      <c r="B988" s="94"/>
      <c r="C988" s="94"/>
      <c r="D988" s="94"/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  <c r="AA988" s="94"/>
      <c r="AB988" s="94"/>
      <c r="AC988" s="94"/>
    </row>
    <row r="989" ht="15.75" customHeight="1">
      <c r="A989" s="94"/>
      <c r="B989" s="94"/>
      <c r="C989" s="94"/>
      <c r="D989" s="94"/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  <c r="Z989" s="94"/>
      <c r="AA989" s="94"/>
      <c r="AB989" s="94"/>
      <c r="AC989" s="94"/>
    </row>
    <row r="990" ht="15.75" customHeight="1">
      <c r="A990" s="94"/>
      <c r="B990" s="94"/>
      <c r="C990" s="94"/>
      <c r="D990" s="94"/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Z990" s="94"/>
      <c r="AA990" s="94"/>
      <c r="AB990" s="94"/>
      <c r="AC990" s="94"/>
    </row>
    <row r="991" ht="15.75" customHeight="1">
      <c r="A991" s="94"/>
      <c r="B991" s="94"/>
      <c r="C991" s="94"/>
      <c r="D991" s="94"/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  <c r="Z991" s="94"/>
      <c r="AA991" s="94"/>
      <c r="AB991" s="94"/>
      <c r="AC991" s="94"/>
    </row>
    <row r="992" ht="15.75" customHeight="1">
      <c r="A992" s="94"/>
      <c r="B992" s="94"/>
      <c r="C992" s="94"/>
      <c r="D992" s="94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  <c r="AA992" s="94"/>
      <c r="AB992" s="94"/>
      <c r="AC992" s="94"/>
    </row>
    <row r="993" ht="15.75" customHeight="1">
      <c r="A993" s="94"/>
      <c r="B993" s="94"/>
      <c r="C993" s="94"/>
      <c r="D993" s="94"/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  <c r="Z993" s="94"/>
      <c r="AA993" s="94"/>
      <c r="AB993" s="94"/>
      <c r="AC993" s="94"/>
    </row>
    <row r="994" ht="15.75" customHeight="1">
      <c r="A994" s="94"/>
      <c r="B994" s="94"/>
      <c r="C994" s="94"/>
      <c r="D994" s="94"/>
      <c r="E994" s="94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  <c r="Z994" s="94"/>
      <c r="AA994" s="94"/>
      <c r="AB994" s="94"/>
      <c r="AC994" s="94"/>
    </row>
    <row r="995" ht="15.75" customHeight="1">
      <c r="A995" s="94"/>
      <c r="B995" s="94"/>
      <c r="C995" s="94"/>
      <c r="D995" s="94"/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  <c r="Z995" s="94"/>
      <c r="AA995" s="94"/>
      <c r="AB995" s="94"/>
      <c r="AC995" s="94"/>
    </row>
    <row r="996" ht="15.75" customHeight="1">
      <c r="A996" s="94"/>
      <c r="B996" s="94"/>
      <c r="C996" s="94"/>
      <c r="D996" s="94"/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  <c r="Z996" s="94"/>
      <c r="AA996" s="94"/>
      <c r="AB996" s="94"/>
      <c r="AC996" s="94"/>
    </row>
    <row r="997" ht="15.75" customHeight="1">
      <c r="A997" s="94"/>
      <c r="B997" s="94"/>
      <c r="C997" s="94"/>
      <c r="D997" s="94"/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Z997" s="94"/>
      <c r="AA997" s="94"/>
      <c r="AB997" s="94"/>
      <c r="AC997" s="94"/>
    </row>
    <row r="998" ht="15.75" customHeight="1">
      <c r="A998" s="94"/>
      <c r="B998" s="94"/>
      <c r="C998" s="94"/>
      <c r="D998" s="94"/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  <c r="Z998" s="94"/>
      <c r="AA998" s="94"/>
      <c r="AB998" s="94"/>
      <c r="AC998" s="94"/>
    </row>
    <row r="999" ht="15.75" customHeight="1">
      <c r="A999" s="94"/>
      <c r="B999" s="94"/>
      <c r="C999" s="94"/>
      <c r="D999" s="94"/>
      <c r="E999" s="94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  <c r="U999" s="94"/>
      <c r="V999" s="94"/>
      <c r="W999" s="94"/>
      <c r="X999" s="94"/>
      <c r="Y999" s="94"/>
      <c r="Z999" s="94"/>
      <c r="AA999" s="94"/>
      <c r="AB999" s="94"/>
      <c r="AC999" s="94"/>
    </row>
    <row r="1000" ht="15.75" customHeight="1">
      <c r="A1000" s="94"/>
      <c r="B1000" s="94"/>
      <c r="C1000" s="94"/>
      <c r="D1000" s="94"/>
      <c r="E1000" s="94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  <c r="S1000" s="94"/>
      <c r="T1000" s="94"/>
      <c r="U1000" s="94"/>
      <c r="V1000" s="94"/>
      <c r="W1000" s="94"/>
      <c r="X1000" s="94"/>
      <c r="Y1000" s="94"/>
      <c r="Z1000" s="94"/>
      <c r="AA1000" s="94"/>
      <c r="AB1000" s="94"/>
      <c r="AC1000" s="94"/>
    </row>
  </sheetData>
  <mergeCells count="1">
    <mergeCell ref="V7:Z8"/>
  </mergeCells>
  <printOptions/>
  <pageMargins bottom="0.75" footer="0.0" header="0.0" left="0.7" right="0.7" top="0.75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33CC193D314546A3E2B0AD780FA503" ma:contentTypeVersion="1" ma:contentTypeDescription="Create a new document." ma:contentTypeScope="" ma:versionID="ea539db28308ff5a9e0532426d45faa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0CCDA1-6A65-4B04-B1B1-7109CA9F341E}"/>
</file>

<file path=customXml/itemProps2.xml><?xml version="1.0" encoding="utf-8"?>
<ds:datastoreItem xmlns:ds="http://schemas.openxmlformats.org/officeDocument/2006/customXml" ds:itemID="{644935C4-561A-4DCB-801C-3DE9DE5E639A}"/>
</file>

<file path=customXml/itemProps3.xml><?xml version="1.0" encoding="utf-8"?>
<ds:datastoreItem xmlns:ds="http://schemas.openxmlformats.org/officeDocument/2006/customXml" ds:itemID="{C7AB706B-B679-4C0E-BFE5-5897782C7F8A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0x0101004F33CC193D314546A3E2B0AD780FA503</vt:lpwstr>
  </property>
  <property fmtid="{D5CDD505-2E9C-101B-9397-08002B2CF9AE}" pid="3" name="Order">
    <vt:r8>2400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